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activeTab="1"/>
  </bookViews>
  <sheets>
    <sheet name="-" sheetId="1" r:id="rId1"/>
    <sheet name="Planilha Orcamentaria Muro 2x" sheetId="2" r:id="rId2"/>
    <sheet name="Cronograma" sheetId="3" r:id="rId3"/>
    <sheet name="Composição" sheetId="4" r:id="rId4"/>
    <sheet name="Memória de cálculo" sheetId="5" r:id="rId5"/>
  </sheets>
  <definedNames>
    <definedName name="_xlnm.Print_Area" localSheetId="0">'-'!$A$1:$H$35</definedName>
    <definedName name="_xlnm.Print_Area" localSheetId="3">'Composição'!$A$1:$F$19</definedName>
    <definedName name="_xlnm.Print_Area" localSheetId="2">'Cronograma'!$A$1:$H$32</definedName>
    <definedName name="_xlnm.Print_Area" localSheetId="1">'Planilha Orcamentaria Muro 2x'!$A$1:$H$38</definedName>
  </definedNames>
  <calcPr fullCalcOnLoad="1"/>
</workbook>
</file>

<file path=xl/comments1.xml><?xml version="1.0" encoding="utf-8"?>
<comments xmlns="http://schemas.openxmlformats.org/spreadsheetml/2006/main">
  <authors>
    <author>Engenheira</author>
  </authors>
  <commentList>
    <comment ref="H29" authorId="0">
      <text>
        <r>
          <rPr>
            <b/>
            <sz val="9"/>
            <rFont val="Tahoma"/>
            <family val="2"/>
          </rPr>
          <t>Engenheira:</t>
        </r>
        <r>
          <rPr>
            <sz val="9"/>
            <rFont val="Tahoma"/>
            <family val="2"/>
          </rPr>
          <t xml:space="preserve">
Conferir a soma </t>
        </r>
      </text>
    </comment>
  </commentList>
</comments>
</file>

<file path=xl/comments2.xml><?xml version="1.0" encoding="utf-8"?>
<comments xmlns="http://schemas.openxmlformats.org/spreadsheetml/2006/main">
  <authors>
    <author>Engenheira</author>
  </authors>
  <commentList>
    <comment ref="H29" authorId="0">
      <text>
        <r>
          <rPr>
            <b/>
            <sz val="9"/>
            <rFont val="Tahoma"/>
            <family val="2"/>
          </rPr>
          <t>Engenheira:</t>
        </r>
        <r>
          <rPr>
            <sz val="9"/>
            <rFont val="Tahoma"/>
            <family val="2"/>
          </rPr>
          <t xml:space="preserve">
Conferir a soma </t>
        </r>
      </text>
    </comment>
  </commentList>
</comments>
</file>

<file path=xl/comments4.xml><?xml version="1.0" encoding="utf-8"?>
<comments xmlns="http://schemas.openxmlformats.org/spreadsheetml/2006/main">
  <authors>
    <author>Engenheira</author>
  </authors>
  <commentList>
    <comment ref="E38" authorId="0">
      <text>
        <r>
          <rPr>
            <b/>
            <sz val="9"/>
            <rFont val="Tahoma"/>
            <family val="2"/>
          </rPr>
          <t>Engenheira:</t>
        </r>
        <r>
          <rPr>
            <sz val="9"/>
            <rFont val="Tahoma"/>
            <family val="2"/>
          </rPr>
          <t xml:space="preserve">
Para aplicar 1 metro de argamassa em bisnaga, gasta-se 0,043h de pedreiro.</t>
        </r>
      </text>
    </comment>
    <comment ref="E44" authorId="0">
      <text>
        <r>
          <rPr>
            <b/>
            <sz val="9"/>
            <rFont val="Tahoma"/>
            <family val="2"/>
          </rPr>
          <t>Engenheira:</t>
        </r>
        <r>
          <rPr>
            <sz val="9"/>
            <rFont val="Tahoma"/>
            <family val="2"/>
          </rPr>
          <t xml:space="preserve">
Para aplicar 1 metro de selante, gasta-se 0,043h de pedreiro. </t>
        </r>
      </text>
    </comment>
  </commentList>
</comments>
</file>

<file path=xl/sharedStrings.xml><?xml version="1.0" encoding="utf-8"?>
<sst xmlns="http://schemas.openxmlformats.org/spreadsheetml/2006/main" count="327" uniqueCount="175">
  <si>
    <t>ITEM</t>
  </si>
  <si>
    <t>DESCRIÇÃO</t>
  </si>
  <si>
    <t>QUANTIDADE</t>
  </si>
  <si>
    <t>UNIDADE</t>
  </si>
  <si>
    <t>PLANILHA ORÇAMENTÁRIA DE CUSTOS</t>
  </si>
  <si>
    <t>A N E X O   I I</t>
  </si>
  <si>
    <t>CÓDIGO</t>
  </si>
  <si>
    <t>DIRETA</t>
  </si>
  <si>
    <t>INDIRETA</t>
  </si>
  <si>
    <t>(    )</t>
  </si>
  <si>
    <t>LDI</t>
  </si>
  <si>
    <t>PREÇO TOTAL</t>
  </si>
  <si>
    <t xml:space="preserve">FORMA DE EXECUÇÃO: </t>
  </si>
  <si>
    <t>PREÇO UNITÁRIO S/ LDI</t>
  </si>
  <si>
    <t>PREÇO UNITÁRIO C/ LDI</t>
  </si>
  <si>
    <t>1.1</t>
  </si>
  <si>
    <t>2.1</t>
  </si>
  <si>
    <t>3.1</t>
  </si>
  <si>
    <t>TOTAL GERAL DA OBRA</t>
  </si>
  <si>
    <t>FOLHA Nº: 01/01</t>
  </si>
  <si>
    <t>PREFEITURA: Prefeitura Municipal de Areado</t>
  </si>
  <si>
    <t>(  X  )</t>
  </si>
  <si>
    <t xml:space="preserve">A N E X O   I I I </t>
  </si>
  <si>
    <t>CRONOGRAMA FÍSICO-FINANCEIRO</t>
  </si>
  <si>
    <t xml:space="preserve">VALOR DO SERVIÇO: </t>
  </si>
  <si>
    <t>ETAPAS/DESCRIÇÃO</t>
  </si>
  <si>
    <t>FÍSICO/ FINANCEIRO</t>
  </si>
  <si>
    <t>TOTAL  ETAPAS</t>
  </si>
  <si>
    <t>MÊS 1</t>
  </si>
  <si>
    <t>MÊS 2</t>
  </si>
  <si>
    <t>Físico %</t>
  </si>
  <si>
    <t>Financeiro</t>
  </si>
  <si>
    <t>Observações:</t>
  </si>
  <si>
    <t>SERVIÇOS PRELIMINARES</t>
  </si>
  <si>
    <t>1</t>
  </si>
  <si>
    <t>2</t>
  </si>
  <si>
    <t>3</t>
  </si>
  <si>
    <t>SUBTOTAL 1</t>
  </si>
  <si>
    <t>SUBTOTAL 2</t>
  </si>
  <si>
    <t>SUBTOTAL 3</t>
  </si>
  <si>
    <t>ISS: 4%</t>
  </si>
  <si>
    <t xml:space="preserve">ANDAIME </t>
  </si>
  <si>
    <t>SARAH SIQUEIRA SALGADO SOUZA-CREA-MG: 247.932/D</t>
  </si>
  <si>
    <t>M²</t>
  </si>
  <si>
    <t>SERVENTE COM ENCARGOS COMPLEMENTARES</t>
  </si>
  <si>
    <t>H</t>
  </si>
  <si>
    <t>M</t>
  </si>
  <si>
    <t>01.FUES.VERG.019/01</t>
  </si>
  <si>
    <t>93200</t>
  </si>
  <si>
    <t>FIXAÇÃO (ENCUNHAMENTO) DE ALVENARIA DE VEDAÇÃO COM ARGAMASSA APLICADA COM BISNAGA. AF_03/2016</t>
  </si>
  <si>
    <t/>
  </si>
  <si>
    <t>Vergas, contravergas e fixação de alvenaria</t>
  </si>
  <si>
    <t>Com Custo</t>
  </si>
  <si>
    <t>COMPOSICAO</t>
  </si>
  <si>
    <t>87294</t>
  </si>
  <si>
    <t>ARGAMASSA TRAÇO 1:2:9 (EM VOLUME DE CIMENTO, CAL E AREIA MÉDIA ÚMIDA) PARA EMBOÇO/MASSA ÚNICA/ASSENTAMENTO DE ALVENARIA DE VEDAÇÃO, PREPARO MECÂNICO COM BETONEIRA 600 L. AF_08/2019</t>
  </si>
  <si>
    <t>M3</t>
  </si>
  <si>
    <t>0,0035000</t>
  </si>
  <si>
    <t>88309</t>
  </si>
  <si>
    <t>PEDREIRO COM ENCARGOS COMPLEMENTARES</t>
  </si>
  <si>
    <t>0,0430000</t>
  </si>
  <si>
    <t>88316</t>
  </si>
  <si>
    <t>0,0090000</t>
  </si>
  <si>
    <t>PLANILHA REFERÊNCIA - ITEM 93200 DA PLANILHA DE COMPOSIÇÕES SINAPI 01/2022</t>
  </si>
  <si>
    <t>Preço unitário</t>
  </si>
  <si>
    <t>Composição 01</t>
  </si>
  <si>
    <t xml:space="preserve">Custo Total </t>
  </si>
  <si>
    <t xml:space="preserve">PLANILHA DE COMPOSIÇÃO </t>
  </si>
  <si>
    <t>3.2</t>
  </si>
  <si>
    <t xml:space="preserve">MÃO DE OBRA PARA APLICAÇÃO DO SELANTE </t>
  </si>
  <si>
    <t>SARAH SIQUEIRA SALGADO SOUZA-ENGENHEIRA CIVIL - CREA-MG: 247.932/D</t>
  </si>
  <si>
    <t>DOUGLAS ÁVILA MOREIRA - PREFEITO MUNICIPAL DE AREADO/MG</t>
  </si>
  <si>
    <t>LOCAL: PRAÇA WENCESLAU BRAZ</t>
  </si>
  <si>
    <t xml:space="preserve">OBRA: PINTURA EXTERNA DO GINÁSIO POLIESPORTIVO VENERANDO BRAZ DA SILVEIRA </t>
  </si>
  <si>
    <t>DATA: FEVEREIRO/2024</t>
  </si>
  <si>
    <t>REGIÃO/MÊS DE REFERÊNCIA:  SUL - 08/2023 (SETOP)</t>
  </si>
  <si>
    <t xml:space="preserve">MEMÓRIA DE CÁLCULO </t>
  </si>
  <si>
    <t xml:space="preserve">Geral </t>
  </si>
  <si>
    <t xml:space="preserve">Beiral </t>
  </si>
  <si>
    <t xml:space="preserve">Rampa </t>
  </si>
  <si>
    <t>Paredes</t>
  </si>
  <si>
    <t>FACHADA FRONTAL - ÁREA PAREDES</t>
  </si>
  <si>
    <t>Desconto Esquadrias</t>
  </si>
  <si>
    <t xml:space="preserve">TOTAL </t>
  </si>
  <si>
    <t>ESQUADRIAS</t>
  </si>
  <si>
    <t>Área bruta</t>
  </si>
  <si>
    <t xml:space="preserve">Fachada frontal </t>
  </si>
  <si>
    <t xml:space="preserve">Fachada fundos </t>
  </si>
  <si>
    <t xml:space="preserve">Fachada Lateral Esquerda </t>
  </si>
  <si>
    <t xml:space="preserve">Fachada Lateral Direita </t>
  </si>
  <si>
    <t xml:space="preserve">FACHADA FUNDOS - ÁREA PAREDES </t>
  </si>
  <si>
    <t>m²</t>
  </si>
  <si>
    <t xml:space="preserve">FACHADA L. ESQUERDA - ÁREA PAREDES </t>
  </si>
  <si>
    <t xml:space="preserve">FACHADA L. DIREITA - ÁREA PAREDES </t>
  </si>
  <si>
    <t>Beiral</t>
  </si>
  <si>
    <t>Pilares</t>
  </si>
  <si>
    <t>ED-28427</t>
  </si>
  <si>
    <t>FORNECIMENTO E COLOCAÇÃO DE PLACA DE OBRA EM CHAPA GALVANIZADA #26, ESP. 0,45MM, DIMENSÃO (3X1,5)M, PLOTADA COM ADESIVO VINÍLICO, AFIXADA COM REBITES 4,8X40MM, EM ESTRUTURA METÁLICA DE METALON 20X20MM, ESP. 1,25MM, INCLUSIVE SUPORTE EM EUCALIPTO AUTOCLAVADO PINTADO COM TINTA PVA DUAS (2) DEMÃOS</t>
  </si>
  <si>
    <t>UNID</t>
  </si>
  <si>
    <t>ED-48246</t>
  </si>
  <si>
    <t>MONTAGEM E DESMONTAGEM DE ANDAIME METÁLICO PARA FACHADA COM PISO METÁLICO, EXCLUSIVE FORNECIMENTO DO ANDAIME E RODAPÉ/GUARDA-CORPO EM MADEIRA</t>
  </si>
  <si>
    <t>PINTURA</t>
  </si>
  <si>
    <t>3.3</t>
  </si>
  <si>
    <t>ED-50451</t>
  </si>
  <si>
    <t>PINTURA ACRÍLICA EM PAREDE, DUAS (2) DEMÃOS, EXCLUSIVE SELADOR ACRÍLICO E MASSA ACRÍLICA/CORRIDA (PVA)</t>
  </si>
  <si>
    <t>ED-50491</t>
  </si>
  <si>
    <t>PINTURA ESMALTE EM ESQUADRIAS DE FERRO, DUAS (2) DEMÃOS, INCLUSIVE UMA (1) DEMÃO DE FUNDO ANTICORROSIVO</t>
  </si>
  <si>
    <t xml:space="preserve">TOTAL FACHADAS </t>
  </si>
  <si>
    <t xml:space="preserve">COMPOSIÇÃO </t>
  </si>
  <si>
    <t>PLANILHA REFERÊNCIA - SINAPI 12-2023</t>
  </si>
  <si>
    <t>SINAPI-I</t>
  </si>
  <si>
    <t>PINTOR DE LETREIROS (HORISTA)</t>
  </si>
  <si>
    <t>SINAPI-I  12874</t>
  </si>
  <si>
    <t xml:space="preserve">CÓDIGO </t>
  </si>
  <si>
    <t xml:space="preserve">DESCRIÇÃO </t>
  </si>
  <si>
    <t xml:space="preserve">VALOR UNITÁRIO </t>
  </si>
  <si>
    <t>SINAPI 95623</t>
  </si>
  <si>
    <t>APLICAÇÃO MANUAL DE TINTA LÁTEX ACRÍLICA EM PANOS SEM PRESENÇA DE VÃOS DE EDIFÍCIOS DE MÚLTIPLOS PAVIMENTOS, DUAS DEMÃOS.</t>
  </si>
  <si>
    <t>COEFICIENTE</t>
  </si>
  <si>
    <t xml:space="preserve">VALOR TOTAL </t>
  </si>
  <si>
    <t>TIPO</t>
  </si>
  <si>
    <t xml:space="preserve">SINAPI </t>
  </si>
  <si>
    <t>PINTURA LETREIROS</t>
  </si>
  <si>
    <t>CUSTO UNITÁRIO DO SERVIÇO</t>
  </si>
  <si>
    <t>PLANILHA DE COMPOSIÇÃO - PINTURA DE LETREIROS</t>
  </si>
  <si>
    <t>MÊS 3</t>
  </si>
  <si>
    <t>EXECUÇÃO: 3 MESES</t>
  </si>
  <si>
    <t>PREVISTO NO PERÍODO</t>
  </si>
  <si>
    <t>Acumulado %</t>
  </si>
  <si>
    <t xml:space="preserve">Acumulado </t>
  </si>
  <si>
    <t>MEDIDO NO PERÍODO</t>
  </si>
  <si>
    <t>3.4</t>
  </si>
  <si>
    <t>3.5</t>
  </si>
  <si>
    <t>3.6</t>
  </si>
  <si>
    <t>ED-50505</t>
  </si>
  <si>
    <t>LIXAMENTO MANUAL EM PAREDE PARA REMOÇÃO DE TINTA</t>
  </si>
  <si>
    <t>ED-50514</t>
  </si>
  <si>
    <t>PREPARAÇÃO PARA EMASSAMENTO OU PINTURA (LÁTEX/ACRÍLICA) EM PAREDE, INCLUSIVE UMA (1) DEMÃO DE SELADOR ACRÍLICO</t>
  </si>
  <si>
    <t>ED-50508</t>
  </si>
  <si>
    <t>LIXAMENTO MANUAL EM SUPERFÍCIE METÁLICA PARA REMOÇÃO DE TINTA</t>
  </si>
  <si>
    <t>CANTEIROS</t>
  </si>
  <si>
    <t xml:space="preserve">Canteiro </t>
  </si>
  <si>
    <t>Canteiro 01</t>
  </si>
  <si>
    <t>Canteiro 02</t>
  </si>
  <si>
    <t>Canteiro 03</t>
  </si>
  <si>
    <t>Canteiro 04</t>
  </si>
  <si>
    <t>Canteiro 05</t>
  </si>
  <si>
    <t>Canteiro 06</t>
  </si>
  <si>
    <t>Área útil (m²)</t>
  </si>
  <si>
    <t>Área (m²)</t>
  </si>
  <si>
    <t xml:space="preserve">ÁREA MURO </t>
  </si>
  <si>
    <t>Portão Muro</t>
  </si>
  <si>
    <t>TOTAL PINTURA</t>
  </si>
  <si>
    <t>Areado, 20/02/2024</t>
  </si>
  <si>
    <t>SINALIZAÇÃO</t>
  </si>
  <si>
    <t>4.1</t>
  </si>
  <si>
    <t>ED-50157</t>
  </si>
  <si>
    <t xml:space="preserve"> FITA ZEBRADA AMARELA PARA SINALIZAÇÃO ISOLAMENTO DE ÁREA, EXCLUSIVE SUPORTE PARA SUSTENTAÇÃO, INCLUSIVE FIXAÇÃO E FORNECIMENTO</t>
  </si>
  <si>
    <t xml:space="preserve">M </t>
  </si>
  <si>
    <t>SUBTOTAL 4</t>
  </si>
  <si>
    <t xml:space="preserve">MURO </t>
  </si>
  <si>
    <t>Muro 01</t>
  </si>
  <si>
    <t>Muro 02</t>
  </si>
  <si>
    <t>Muro 03</t>
  </si>
  <si>
    <t>Muro 04</t>
  </si>
  <si>
    <t>Edificação 02</t>
  </si>
  <si>
    <t xml:space="preserve">EDIFICAÇÕES </t>
  </si>
  <si>
    <t>Edificação 01</t>
  </si>
  <si>
    <t>TOTAL</t>
  </si>
  <si>
    <t>PRAZO DE EXECUÇÃO: 3 MESES</t>
  </si>
  <si>
    <t>I</t>
  </si>
  <si>
    <t>l</t>
  </si>
  <si>
    <t>Areado, 21/02/2024</t>
  </si>
  <si>
    <t>AREADO, 21/02/2024</t>
  </si>
  <si>
    <t>COMPOSIÇÃO ITEM PINTURA LETREIROS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</si>
</sst>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"/>
    <numFmt numFmtId="177" formatCode="&quot;R$ &quot;#,##0.00"/>
    <numFmt numFmtId="178" formatCode="&quot;Ativado&quot;;&quot;Ativado&quot;;&quot;Desativado&quot;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_(&quot;R$ &quot;* #,##0.000_);_(&quot;R$ &quot;* \(#,##0.000\);_(&quot;R$ &quot;* &quot;-&quot;??_);_(@_)"/>
    <numFmt numFmtId="187" formatCode="0.000"/>
    <numFmt numFmtId="188" formatCode="0.00000"/>
    <numFmt numFmtId="189" formatCode="0.0000"/>
    <numFmt numFmtId="190" formatCode="0.0"/>
    <numFmt numFmtId="191" formatCode="[$-416]dddd\,\ d&quot; de &quot;mmmm&quot; de &quot;yyyy"/>
    <numFmt numFmtId="192" formatCode="0.0%"/>
    <numFmt numFmtId="193" formatCode="&quot;R$&quot;\ #,##0.00"/>
  </numFmts>
  <fonts count="55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wrapText="1"/>
    </xf>
    <xf numFmtId="0" fontId="0" fillId="32" borderId="0" xfId="0" applyFill="1" applyAlignment="1">
      <alignment wrapText="1"/>
    </xf>
    <xf numFmtId="0" fontId="0" fillId="32" borderId="0" xfId="0" applyFill="1" applyAlignment="1">
      <alignment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49" fontId="8" fillId="32" borderId="13" xfId="0" applyNumberFormat="1" applyFont="1" applyFill="1" applyBorder="1" applyAlignment="1">
      <alignment horizontal="center" vertical="top" wrapText="1"/>
    </xf>
    <xf numFmtId="10" fontId="8" fillId="32" borderId="13" xfId="0" applyNumberFormat="1" applyFont="1" applyFill="1" applyBorder="1" applyAlignment="1">
      <alignment vertical="top" wrapText="1"/>
    </xf>
    <xf numFmtId="49" fontId="8" fillId="32" borderId="14" xfId="0" applyNumberFormat="1" applyFont="1" applyFill="1" applyBorder="1" applyAlignment="1">
      <alignment horizontal="center" vertical="top" wrapText="1"/>
    </xf>
    <xf numFmtId="177" fontId="8" fillId="32" borderId="14" xfId="0" applyNumberFormat="1" applyFont="1" applyFill="1" applyBorder="1" applyAlignment="1">
      <alignment vertical="top" wrapText="1"/>
    </xf>
    <xf numFmtId="10" fontId="10" fillId="32" borderId="15" xfId="0" applyNumberFormat="1" applyFont="1" applyFill="1" applyBorder="1" applyAlignment="1">
      <alignment vertical="top" wrapText="1"/>
    </xf>
    <xf numFmtId="0" fontId="0" fillId="32" borderId="0" xfId="0" applyFill="1" applyBorder="1" applyAlignment="1">
      <alignment vertical="center"/>
    </xf>
    <xf numFmtId="0" fontId="0" fillId="32" borderId="0" xfId="0" applyFill="1" applyBorder="1" applyAlignment="1">
      <alignment vertical="center" wrapText="1"/>
    </xf>
    <xf numFmtId="0" fontId="6" fillId="32" borderId="16" xfId="0" applyFont="1" applyFill="1" applyBorder="1" applyAlignment="1">
      <alignment wrapText="1"/>
    </xf>
    <xf numFmtId="0" fontId="0" fillId="0" borderId="17" xfId="0" applyBorder="1" applyAlignment="1">
      <alignment vertical="center"/>
    </xf>
    <xf numFmtId="0" fontId="6" fillId="32" borderId="0" xfId="0" applyFont="1" applyFill="1" applyBorder="1" applyAlignment="1">
      <alignment/>
    </xf>
    <xf numFmtId="0" fontId="0" fillId="32" borderId="0" xfId="0" applyFill="1" applyBorder="1" applyAlignment="1">
      <alignment wrapText="1"/>
    </xf>
    <xf numFmtId="0" fontId="0" fillId="32" borderId="0" xfId="0" applyFill="1" applyBorder="1" applyAlignment="1">
      <alignment/>
    </xf>
    <xf numFmtId="0" fontId="0" fillId="32" borderId="0" xfId="0" applyFont="1" applyFill="1" applyBorder="1" applyAlignment="1">
      <alignment/>
    </xf>
    <xf numFmtId="170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8" fillId="33" borderId="13" xfId="0" applyNumberFormat="1" applyFont="1" applyFill="1" applyBorder="1" applyAlignment="1">
      <alignment vertical="top" wrapText="1"/>
    </xf>
    <xf numFmtId="177" fontId="8" fillId="33" borderId="14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2" fontId="7" fillId="0" borderId="27" xfId="63" applyNumberFormat="1" applyFont="1" applyFill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 wrapText="1"/>
    </xf>
    <xf numFmtId="4" fontId="8" fillId="0" borderId="3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2" fontId="8" fillId="0" borderId="32" xfId="63" applyNumberFormat="1" applyFont="1" applyFill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center" vertical="center" wrapText="1"/>
    </xf>
    <xf numFmtId="4" fontId="8" fillId="0" borderId="33" xfId="0" applyNumberFormat="1" applyFont="1" applyBorder="1" applyAlignment="1">
      <alignment horizontal="center" vertical="center" wrapText="1"/>
    </xf>
    <xf numFmtId="170" fontId="7" fillId="0" borderId="34" xfId="47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8" fillId="0" borderId="29" xfId="0" applyNumberFormat="1" applyFont="1" applyFill="1" applyBorder="1" applyAlignment="1">
      <alignment horizontal="center" vertical="center" wrapText="1"/>
    </xf>
    <xf numFmtId="4" fontId="8" fillId="0" borderId="27" xfId="0" applyNumberFormat="1" applyFont="1" applyFill="1" applyBorder="1" applyAlignment="1">
      <alignment horizontal="center" vertical="center" wrapText="1"/>
    </xf>
    <xf numFmtId="170" fontId="4" fillId="0" borderId="0" xfId="47" applyFont="1" applyAlignment="1">
      <alignment/>
    </xf>
    <xf numFmtId="0" fontId="4" fillId="0" borderId="3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84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4" fillId="0" borderId="0" xfId="0" applyFont="1" applyAlignment="1">
      <alignment/>
    </xf>
    <xf numFmtId="0" fontId="15" fillId="0" borderId="36" xfId="0" applyFont="1" applyBorder="1" applyAlignment="1">
      <alignment horizontal="center" vertical="center"/>
    </xf>
    <xf numFmtId="10" fontId="51" fillId="0" borderId="37" xfId="52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34" borderId="36" xfId="50" applyFont="1" applyFill="1" applyBorder="1" applyAlignment="1">
      <alignment horizontal="center" vertical="center" wrapText="1"/>
      <protection/>
    </xf>
    <xf numFmtId="0" fontId="4" fillId="34" borderId="36" xfId="50" applyFont="1" applyFill="1" applyBorder="1" applyAlignment="1">
      <alignment horizontal="left" vertical="center" wrapText="1"/>
      <protection/>
    </xf>
    <xf numFmtId="4" fontId="4" fillId="34" borderId="36" xfId="50" applyNumberFormat="1" applyFont="1" applyFill="1" applyBorder="1" applyAlignment="1">
      <alignment horizontal="center" vertical="center" wrapText="1"/>
      <protection/>
    </xf>
    <xf numFmtId="0" fontId="4" fillId="34" borderId="12" xfId="50" applyFont="1" applyFill="1" applyBorder="1" applyAlignment="1">
      <alignment horizontal="left" vertical="center" wrapText="1"/>
      <protection/>
    </xf>
    <xf numFmtId="0" fontId="4" fillId="34" borderId="12" xfId="50" applyFont="1" applyFill="1" applyBorder="1" applyAlignment="1">
      <alignment horizontal="center" vertical="center" wrapText="1"/>
      <protection/>
    </xf>
    <xf numFmtId="4" fontId="4" fillId="34" borderId="12" xfId="50" applyNumberFormat="1" applyFont="1" applyFill="1" applyBorder="1" applyAlignment="1">
      <alignment horizontal="center" vertical="center" wrapText="1"/>
      <protection/>
    </xf>
    <xf numFmtId="183" fontId="4" fillId="34" borderId="36" xfId="50" applyNumberFormat="1" applyFont="1" applyFill="1" applyBorder="1" applyAlignment="1">
      <alignment horizontal="center" vertical="center" wrapText="1"/>
      <protection/>
    </xf>
    <xf numFmtId="0" fontId="52" fillId="0" borderId="36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/>
    </xf>
    <xf numFmtId="0" fontId="52" fillId="0" borderId="36" xfId="0" applyFont="1" applyBorder="1" applyAlignment="1">
      <alignment vertical="center" wrapText="1"/>
    </xf>
    <xf numFmtId="4" fontId="52" fillId="0" borderId="29" xfId="0" applyNumberFormat="1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49" fontId="51" fillId="0" borderId="32" xfId="0" applyNumberFormat="1" applyFont="1" applyBorder="1" applyAlignment="1">
      <alignment horizontal="center" vertical="center" wrapText="1"/>
    </xf>
    <xf numFmtId="0" fontId="51" fillId="0" borderId="32" xfId="0" applyFont="1" applyBorder="1" applyAlignment="1">
      <alignment horizontal="left" vertical="center" wrapText="1"/>
    </xf>
    <xf numFmtId="2" fontId="52" fillId="0" borderId="32" xfId="63" applyNumberFormat="1" applyFont="1" applyFill="1" applyBorder="1" applyAlignment="1">
      <alignment horizontal="center" vertical="center" wrapText="1"/>
    </xf>
    <xf numFmtId="4" fontId="52" fillId="0" borderId="32" xfId="0" applyNumberFormat="1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49" fontId="52" fillId="0" borderId="39" xfId="0" applyNumberFormat="1" applyFont="1" applyBorder="1" applyAlignment="1">
      <alignment horizontal="center" vertical="center" wrapText="1"/>
    </xf>
    <xf numFmtId="0" fontId="52" fillId="0" borderId="36" xfId="0" applyFont="1" applyBorder="1" applyAlignment="1">
      <alignment wrapText="1"/>
    </xf>
    <xf numFmtId="2" fontId="52" fillId="0" borderId="40" xfId="63" applyNumberFormat="1" applyFont="1" applyFill="1" applyBorder="1" applyAlignment="1">
      <alignment horizontal="center" vertical="center" wrapText="1"/>
    </xf>
    <xf numFmtId="49" fontId="8" fillId="32" borderId="41" xfId="0" applyNumberFormat="1" applyFont="1" applyFill="1" applyBorder="1" applyAlignment="1">
      <alignment horizontal="center" vertical="top" wrapText="1"/>
    </xf>
    <xf numFmtId="177" fontId="8" fillId="32" borderId="41" xfId="0" applyNumberFormat="1" applyFont="1" applyFill="1" applyBorder="1" applyAlignment="1">
      <alignment vertical="top" wrapText="1"/>
    </xf>
    <xf numFmtId="177" fontId="8" fillId="33" borderId="41" xfId="0" applyNumberFormat="1" applyFont="1" applyFill="1" applyBorder="1" applyAlignment="1">
      <alignment vertical="top" wrapText="1"/>
    </xf>
    <xf numFmtId="49" fontId="8" fillId="0" borderId="36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/>
    </xf>
    <xf numFmtId="2" fontId="8" fillId="0" borderId="36" xfId="63" applyNumberFormat="1" applyFont="1" applyFill="1" applyBorder="1" applyAlignment="1">
      <alignment horizontal="center" vertical="center" wrapText="1"/>
    </xf>
    <xf numFmtId="4" fontId="8" fillId="0" borderId="36" xfId="0" applyNumberFormat="1" applyFont="1" applyBorder="1" applyAlignment="1">
      <alignment horizontal="center" vertical="center" wrapText="1"/>
    </xf>
    <xf numFmtId="4" fontId="4" fillId="34" borderId="42" xfId="50" applyNumberFormat="1" applyFont="1" applyFill="1" applyBorder="1" applyAlignment="1">
      <alignment horizontal="center" vertical="center" wrapText="1"/>
      <protection/>
    </xf>
    <xf numFmtId="0" fontId="6" fillId="32" borderId="12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15" fillId="0" borderId="36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vertical="center" wrapText="1"/>
    </xf>
    <xf numFmtId="0" fontId="15" fillId="0" borderId="36" xfId="0" applyFont="1" applyBorder="1" applyAlignment="1">
      <alignment wrapText="1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36" xfId="0" applyBorder="1" applyAlignment="1">
      <alignment horizontal="center" vertical="center"/>
    </xf>
    <xf numFmtId="170" fontId="0" fillId="0" borderId="36" xfId="47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vertical="center"/>
    </xf>
    <xf numFmtId="0" fontId="6" fillId="33" borderId="36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70" fontId="0" fillId="0" borderId="12" xfId="47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2" fontId="0" fillId="0" borderId="36" xfId="0" applyNumberFormat="1" applyBorder="1" applyAlignment="1">
      <alignment horizontal="center" vertical="center"/>
    </xf>
    <xf numFmtId="170" fontId="0" fillId="33" borderId="36" xfId="0" applyNumberFormat="1" applyFill="1" applyBorder="1" applyAlignment="1">
      <alignment vertical="center"/>
    </xf>
    <xf numFmtId="0" fontId="6" fillId="35" borderId="16" xfId="0" applyFont="1" applyFill="1" applyBorder="1" applyAlignment="1">
      <alignment wrapText="1"/>
    </xf>
    <xf numFmtId="0" fontId="6" fillId="35" borderId="0" xfId="0" applyFont="1" applyFill="1" applyBorder="1" applyAlignment="1">
      <alignment wrapText="1"/>
    </xf>
    <xf numFmtId="0" fontId="0" fillId="35" borderId="0" xfId="0" applyFill="1" applyBorder="1" applyAlignment="1">
      <alignment vertical="center"/>
    </xf>
    <xf numFmtId="0" fontId="1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>
      <alignment/>
    </xf>
    <xf numFmtId="0" fontId="7" fillId="35" borderId="0" xfId="0" applyFont="1" applyFill="1" applyBorder="1" applyAlignment="1">
      <alignment wrapText="1"/>
    </xf>
    <xf numFmtId="0" fontId="6" fillId="35" borderId="0" xfId="0" applyFont="1" applyFill="1" applyBorder="1" applyAlignment="1">
      <alignment horizontal="right"/>
    </xf>
    <xf numFmtId="0" fontId="8" fillId="35" borderId="43" xfId="0" applyFont="1" applyFill="1" applyBorder="1" applyAlignment="1">
      <alignment wrapText="1"/>
    </xf>
    <xf numFmtId="0" fontId="0" fillId="35" borderId="43" xfId="0" applyFill="1" applyBorder="1" applyAlignment="1">
      <alignment/>
    </xf>
    <xf numFmtId="177" fontId="10" fillId="32" borderId="41" xfId="0" applyNumberFormat="1" applyFont="1" applyFill="1" applyBorder="1" applyAlignment="1">
      <alignment vertical="top" wrapText="1"/>
    </xf>
    <xf numFmtId="49" fontId="9" fillId="32" borderId="44" xfId="0" applyNumberFormat="1" applyFont="1" applyFill="1" applyBorder="1" applyAlignment="1">
      <alignment horizontal="center" vertical="top" wrapText="1"/>
    </xf>
    <xf numFmtId="49" fontId="9" fillId="32" borderId="45" xfId="0" applyNumberFormat="1" applyFont="1" applyFill="1" applyBorder="1" applyAlignment="1">
      <alignment horizontal="center" vertical="top" wrapText="1"/>
    </xf>
    <xf numFmtId="49" fontId="9" fillId="32" borderId="36" xfId="0" applyNumberFormat="1" applyFont="1" applyFill="1" applyBorder="1" applyAlignment="1">
      <alignment horizontal="center" vertical="top" wrapText="1"/>
    </xf>
    <xf numFmtId="177" fontId="10" fillId="32" borderId="36" xfId="0" applyNumberFormat="1" applyFont="1" applyFill="1" applyBorder="1" applyAlignment="1">
      <alignment vertical="top" wrapText="1"/>
    </xf>
    <xf numFmtId="10" fontId="10" fillId="32" borderId="36" xfId="52" applyNumberFormat="1" applyFont="1" applyFill="1" applyBorder="1" applyAlignment="1">
      <alignment vertical="top" wrapText="1"/>
    </xf>
    <xf numFmtId="49" fontId="9" fillId="32" borderId="46" xfId="0" applyNumberFormat="1" applyFont="1" applyFill="1" applyBorder="1" applyAlignment="1">
      <alignment horizontal="center" vertical="top" wrapText="1"/>
    </xf>
    <xf numFmtId="177" fontId="10" fillId="32" borderId="46" xfId="0" applyNumberFormat="1" applyFont="1" applyFill="1" applyBorder="1" applyAlignment="1">
      <alignment vertical="top" wrapText="1"/>
    </xf>
    <xf numFmtId="177" fontId="10" fillId="32" borderId="12" xfId="0" applyNumberFormat="1" applyFont="1" applyFill="1" applyBorder="1" applyAlignment="1">
      <alignment vertical="top" wrapText="1"/>
    </xf>
    <xf numFmtId="177" fontId="10" fillId="35" borderId="0" xfId="0" applyNumberFormat="1" applyFont="1" applyFill="1" applyBorder="1" applyAlignment="1">
      <alignment vertical="top" wrapText="1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17" fontId="6" fillId="35" borderId="0" xfId="0" applyNumberFormat="1" applyFont="1" applyFill="1" applyBorder="1" applyAlignment="1">
      <alignment vertical="center"/>
    </xf>
    <xf numFmtId="0" fontId="6" fillId="35" borderId="0" xfId="0" applyFont="1" applyFill="1" applyBorder="1" applyAlignment="1">
      <alignment horizontal="center" vertical="center"/>
    </xf>
    <xf numFmtId="10" fontId="8" fillId="35" borderId="0" xfId="0" applyNumberFormat="1" applyFont="1" applyFill="1" applyBorder="1" applyAlignment="1">
      <alignment vertical="top" wrapText="1"/>
    </xf>
    <xf numFmtId="177" fontId="8" fillId="35" borderId="0" xfId="0" applyNumberFormat="1" applyFont="1" applyFill="1" applyBorder="1" applyAlignment="1">
      <alignment vertical="top" wrapText="1"/>
    </xf>
    <xf numFmtId="10" fontId="10" fillId="35" borderId="0" xfId="0" applyNumberFormat="1" applyFont="1" applyFill="1" applyBorder="1" applyAlignment="1">
      <alignment vertical="top" wrapText="1"/>
    </xf>
    <xf numFmtId="0" fontId="0" fillId="32" borderId="47" xfId="0" applyFill="1" applyBorder="1" applyAlignment="1">
      <alignment wrapText="1"/>
    </xf>
    <xf numFmtId="0" fontId="7" fillId="32" borderId="47" xfId="0" applyFont="1" applyFill="1" applyBorder="1" applyAlignment="1">
      <alignment wrapText="1"/>
    </xf>
    <xf numFmtId="0" fontId="8" fillId="32" borderId="48" xfId="0" applyFont="1" applyFill="1" applyBorder="1" applyAlignment="1">
      <alignment wrapText="1"/>
    </xf>
    <xf numFmtId="0" fontId="1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15" fillId="0" borderId="0" xfId="0" applyFont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2" fontId="0" fillId="0" borderId="36" xfId="0" applyNumberFormat="1" applyBorder="1" applyAlignment="1">
      <alignment/>
    </xf>
    <xf numFmtId="0" fontId="6" fillId="0" borderId="36" xfId="0" applyFont="1" applyBorder="1" applyAlignment="1">
      <alignment horizontal="right"/>
    </xf>
    <xf numFmtId="2" fontId="6" fillId="0" borderId="36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0" fillId="0" borderId="36" xfId="0" applyFont="1" applyBorder="1" applyAlignment="1">
      <alignment vertical="center"/>
    </xf>
    <xf numFmtId="0" fontId="0" fillId="0" borderId="36" xfId="0" applyFont="1" applyBorder="1" applyAlignment="1">
      <alignment/>
    </xf>
    <xf numFmtId="0" fontId="53" fillId="0" borderId="36" xfId="0" applyFont="1" applyBorder="1" applyAlignment="1">
      <alignment/>
    </xf>
    <xf numFmtId="2" fontId="53" fillId="0" borderId="36" xfId="0" applyNumberFormat="1" applyFont="1" applyBorder="1" applyAlignment="1">
      <alignment/>
    </xf>
    <xf numFmtId="0" fontId="6" fillId="0" borderId="0" xfId="0" applyFont="1" applyAlignment="1">
      <alignment/>
    </xf>
    <xf numFmtId="2" fontId="0" fillId="35" borderId="36" xfId="0" applyNumberFormat="1" applyFill="1" applyBorder="1" applyAlignment="1">
      <alignment/>
    </xf>
    <xf numFmtId="0" fontId="52" fillId="35" borderId="36" xfId="0" applyFont="1" applyFill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/>
    </xf>
    <xf numFmtId="2" fontId="0" fillId="8" borderId="36" xfId="0" applyNumberFormat="1" applyFill="1" applyBorder="1" applyAlignment="1">
      <alignment/>
    </xf>
    <xf numFmtId="0" fontId="6" fillId="35" borderId="36" xfId="0" applyFont="1" applyFill="1" applyBorder="1" applyAlignment="1">
      <alignment horizontal="right"/>
    </xf>
    <xf numFmtId="0" fontId="6" fillId="36" borderId="36" xfId="0" applyFont="1" applyFill="1" applyBorder="1" applyAlignment="1">
      <alignment/>
    </xf>
    <xf numFmtId="2" fontId="6" fillId="36" borderId="36" xfId="0" applyNumberFormat="1" applyFont="1" applyFill="1" applyBorder="1" applyAlignment="1">
      <alignment/>
    </xf>
    <xf numFmtId="0" fontId="7" fillId="0" borderId="36" xfId="0" applyFont="1" applyBorder="1" applyAlignment="1">
      <alignment horizontal="right" vertical="center" wrapText="1"/>
    </xf>
    <xf numFmtId="170" fontId="7" fillId="0" borderId="36" xfId="47" applyFont="1" applyBorder="1" applyAlignment="1">
      <alignment horizontal="right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6" xfId="47" applyNumberFormat="1" applyFont="1" applyBorder="1" applyAlignment="1">
      <alignment horizontal="right" vertical="center" wrapText="1"/>
    </xf>
    <xf numFmtId="0" fontId="8" fillId="0" borderId="36" xfId="47" applyNumberFormat="1" applyFont="1" applyBorder="1" applyAlignment="1">
      <alignment horizontal="center" vertical="center" wrapText="1"/>
    </xf>
    <xf numFmtId="0" fontId="8" fillId="0" borderId="36" xfId="47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0" fontId="6" fillId="0" borderId="36" xfId="0" applyFont="1" applyFill="1" applyBorder="1" applyAlignment="1">
      <alignment horizontal="right"/>
    </xf>
    <xf numFmtId="2" fontId="6" fillId="14" borderId="36" xfId="0" applyNumberFormat="1" applyFont="1" applyFill="1" applyBorder="1" applyAlignment="1">
      <alignment/>
    </xf>
    <xf numFmtId="177" fontId="8" fillId="32" borderId="42" xfId="0" applyNumberFormat="1" applyFont="1" applyFill="1" applyBorder="1" applyAlignment="1">
      <alignment vertical="top" wrapText="1"/>
    </xf>
    <xf numFmtId="177" fontId="8" fillId="33" borderId="42" xfId="0" applyNumberFormat="1" applyFont="1" applyFill="1" applyBorder="1" applyAlignment="1">
      <alignment vertical="top" wrapText="1"/>
    </xf>
    <xf numFmtId="0" fontId="0" fillId="0" borderId="49" xfId="0" applyBorder="1" applyAlignment="1">
      <alignment/>
    </xf>
    <xf numFmtId="49" fontId="8" fillId="32" borderId="50" xfId="0" applyNumberFormat="1" applyFont="1" applyFill="1" applyBorder="1" applyAlignment="1">
      <alignment horizontal="center" vertical="top" wrapText="1"/>
    </xf>
    <xf numFmtId="10" fontId="8" fillId="32" borderId="51" xfId="52" applyNumberFormat="1" applyFont="1" applyFill="1" applyBorder="1" applyAlignment="1">
      <alignment vertical="top" wrapText="1"/>
    </xf>
    <xf numFmtId="9" fontId="8" fillId="33" borderId="14" xfId="52" applyFont="1" applyFill="1" applyBorder="1" applyAlignment="1">
      <alignment vertical="top" wrapText="1"/>
    </xf>
    <xf numFmtId="10" fontId="8" fillId="32" borderId="14" xfId="52" applyNumberFormat="1" applyFont="1" applyFill="1" applyBorder="1" applyAlignment="1">
      <alignment vertical="top" wrapText="1"/>
    </xf>
    <xf numFmtId="0" fontId="8" fillId="0" borderId="4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1" fillId="0" borderId="52" xfId="0" applyFont="1" applyBorder="1" applyAlignment="1">
      <alignment horizontal="right" vertical="center" wrapText="1"/>
    </xf>
    <xf numFmtId="0" fontId="51" fillId="0" borderId="20" xfId="0" applyFont="1" applyBorder="1" applyAlignment="1">
      <alignment horizontal="right" vertical="center" wrapText="1"/>
    </xf>
    <xf numFmtId="0" fontId="51" fillId="0" borderId="40" xfId="0" applyFont="1" applyBorder="1" applyAlignment="1">
      <alignment horizontal="right" vertical="center" wrapText="1"/>
    </xf>
    <xf numFmtId="0" fontId="8" fillId="0" borderId="53" xfId="0" applyFont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center" vertical="center" wrapText="1"/>
    </xf>
    <xf numFmtId="193" fontId="7" fillId="0" borderId="39" xfId="47" applyNumberFormat="1" applyFont="1" applyBorder="1" applyAlignment="1">
      <alignment horizontal="right" vertical="center" wrapText="1"/>
    </xf>
    <xf numFmtId="193" fontId="7" fillId="0" borderId="20" xfId="47" applyNumberFormat="1" applyFont="1" applyBorder="1" applyAlignment="1">
      <alignment horizontal="right" vertical="center" wrapText="1"/>
    </xf>
    <xf numFmtId="193" fontId="7" fillId="0" borderId="55" xfId="47" applyNumberFormat="1" applyFont="1" applyBorder="1" applyAlignment="1">
      <alignment horizontal="right" vertical="center" wrapText="1"/>
    </xf>
    <xf numFmtId="0" fontId="51" fillId="0" borderId="56" xfId="0" applyFont="1" applyFill="1" applyBorder="1" applyAlignment="1">
      <alignment horizontal="left" vertical="center" wrapText="1"/>
    </xf>
    <xf numFmtId="0" fontId="51" fillId="0" borderId="43" xfId="0" applyFont="1" applyFill="1" applyBorder="1" applyAlignment="1">
      <alignment horizontal="left" vertical="center" wrapText="1"/>
    </xf>
    <xf numFmtId="0" fontId="51" fillId="0" borderId="57" xfId="0" applyFont="1" applyFill="1" applyBorder="1" applyAlignment="1">
      <alignment horizontal="left" vertical="center" wrapText="1"/>
    </xf>
    <xf numFmtId="0" fontId="7" fillId="0" borderId="52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40" xfId="0" applyFont="1" applyBorder="1" applyAlignment="1">
      <alignment horizontal="right" vertical="center" wrapText="1"/>
    </xf>
    <xf numFmtId="0" fontId="7" fillId="0" borderId="5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left" vertical="center"/>
    </xf>
    <xf numFmtId="0" fontId="7" fillId="0" borderId="62" xfId="0" applyFont="1" applyFill="1" applyBorder="1" applyAlignment="1">
      <alignment horizontal="left" vertical="center"/>
    </xf>
    <xf numFmtId="0" fontId="7" fillId="0" borderId="63" xfId="0" applyFont="1" applyFill="1" applyBorder="1" applyAlignment="1">
      <alignment horizontal="left" vertical="top"/>
    </xf>
    <xf numFmtId="0" fontId="7" fillId="0" borderId="64" xfId="0" applyFont="1" applyFill="1" applyBorder="1" applyAlignment="1">
      <alignment horizontal="left" vertical="top"/>
    </xf>
    <xf numFmtId="0" fontId="7" fillId="0" borderId="65" xfId="0" applyFont="1" applyFill="1" applyBorder="1" applyAlignment="1">
      <alignment horizontal="left" vertical="top"/>
    </xf>
    <xf numFmtId="0" fontId="7" fillId="0" borderId="54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/>
    </xf>
    <xf numFmtId="0" fontId="7" fillId="0" borderId="55" xfId="0" applyFont="1" applyFill="1" applyBorder="1" applyAlignment="1">
      <alignment horizontal="left" vertical="top"/>
    </xf>
    <xf numFmtId="0" fontId="7" fillId="0" borderId="5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right" vertical="center" wrapText="1"/>
    </xf>
    <xf numFmtId="193" fontId="7" fillId="0" borderId="52" xfId="47" applyNumberFormat="1" applyFont="1" applyBorder="1" applyAlignment="1">
      <alignment horizontal="right" vertical="center" wrapText="1"/>
    </xf>
    <xf numFmtId="0" fontId="7" fillId="0" borderId="56" xfId="0" applyFont="1" applyBorder="1" applyAlignment="1">
      <alignment horizontal="right" vertical="center" wrapText="1"/>
    </xf>
    <xf numFmtId="0" fontId="7" fillId="0" borderId="43" xfId="0" applyFont="1" applyBorder="1" applyAlignment="1">
      <alignment horizontal="right" vertical="center" wrapText="1"/>
    </xf>
    <xf numFmtId="0" fontId="7" fillId="0" borderId="68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6" fillId="32" borderId="36" xfId="0" applyFont="1" applyFill="1" applyBorder="1" applyAlignment="1">
      <alignment horizontal="center" vertical="center"/>
    </xf>
    <xf numFmtId="177" fontId="6" fillId="32" borderId="18" xfId="0" applyNumberFormat="1" applyFont="1" applyFill="1" applyBorder="1" applyAlignment="1">
      <alignment horizontal="left" vertical="center"/>
    </xf>
    <xf numFmtId="0" fontId="6" fillId="32" borderId="36" xfId="0" applyFont="1" applyFill="1" applyBorder="1" applyAlignment="1">
      <alignment horizontal="center" vertical="center" wrapText="1"/>
    </xf>
    <xf numFmtId="0" fontId="6" fillId="32" borderId="46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69" xfId="0" applyFont="1" applyFill="1" applyBorder="1" applyAlignment="1">
      <alignment horizontal="left" vertical="center" wrapText="1"/>
    </xf>
    <xf numFmtId="0" fontId="6" fillId="32" borderId="16" xfId="0" applyFont="1" applyFill="1" applyBorder="1" applyAlignment="1">
      <alignment horizontal="left" vertical="center" wrapText="1"/>
    </xf>
    <xf numFmtId="0" fontId="6" fillId="32" borderId="47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/>
    </xf>
    <xf numFmtId="0" fontId="6" fillId="32" borderId="5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6" fillId="32" borderId="70" xfId="0" applyFont="1" applyFill="1" applyBorder="1" applyAlignment="1">
      <alignment horizontal="left" vertical="center" wrapText="1"/>
    </xf>
    <xf numFmtId="0" fontId="6" fillId="32" borderId="22" xfId="0" applyFont="1" applyFill="1" applyBorder="1" applyAlignment="1">
      <alignment horizontal="left" vertical="center" wrapText="1"/>
    </xf>
    <xf numFmtId="0" fontId="6" fillId="32" borderId="71" xfId="0" applyFont="1" applyFill="1" applyBorder="1" applyAlignment="1">
      <alignment horizontal="left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6" fillId="32" borderId="74" xfId="0" applyFont="1" applyFill="1" applyBorder="1" applyAlignment="1">
      <alignment horizontal="left" vertical="center"/>
    </xf>
    <xf numFmtId="0" fontId="6" fillId="32" borderId="17" xfId="0" applyFont="1" applyFill="1" applyBorder="1" applyAlignment="1">
      <alignment horizontal="left" vertical="center"/>
    </xf>
    <xf numFmtId="0" fontId="6" fillId="32" borderId="75" xfId="0" applyFont="1" applyFill="1" applyBorder="1" applyAlignment="1">
      <alignment horizontal="left" vertical="center"/>
    </xf>
    <xf numFmtId="0" fontId="6" fillId="32" borderId="76" xfId="0" applyFont="1" applyFill="1" applyBorder="1" applyAlignment="1">
      <alignment horizontal="left" vertical="center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77" xfId="0" applyFont="1" applyBorder="1" applyAlignment="1">
      <alignment horizontal="left" vertical="center" wrapText="1"/>
    </xf>
    <xf numFmtId="0" fontId="7" fillId="0" borderId="78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79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6" fillId="32" borderId="58" xfId="0" applyFont="1" applyFill="1" applyBorder="1" applyAlignment="1">
      <alignment horizontal="center" vertical="center"/>
    </xf>
    <xf numFmtId="0" fontId="6" fillId="32" borderId="80" xfId="0" applyFont="1" applyFill="1" applyBorder="1" applyAlignment="1">
      <alignment horizontal="center" vertical="center"/>
    </xf>
    <xf numFmtId="0" fontId="7" fillId="0" borderId="81" xfId="0" applyFont="1" applyBorder="1" applyAlignment="1">
      <alignment horizontal="center" vertical="center" wrapText="1"/>
    </xf>
    <xf numFmtId="49" fontId="7" fillId="0" borderId="82" xfId="0" applyNumberFormat="1" applyFont="1" applyBorder="1" applyAlignment="1">
      <alignment horizontal="center" vertical="center" wrapText="1"/>
    </xf>
    <xf numFmtId="0" fontId="7" fillId="0" borderId="82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34" borderId="76" xfId="50" applyFont="1" applyFill="1" applyBorder="1" applyAlignment="1">
      <alignment horizontal="center" vertical="center" wrapText="1"/>
      <protection/>
    </xf>
    <xf numFmtId="0" fontId="4" fillId="34" borderId="75" xfId="50" applyFont="1" applyFill="1" applyBorder="1" applyAlignment="1">
      <alignment horizontal="center" vertical="center" wrapText="1"/>
      <protection/>
    </xf>
    <xf numFmtId="0" fontId="6" fillId="37" borderId="36" xfId="0" applyFont="1" applyFill="1" applyBorder="1" applyAlignment="1">
      <alignment horizontal="center"/>
    </xf>
    <xf numFmtId="170" fontId="0" fillId="0" borderId="42" xfId="47" applyNumberFormat="1" applyFont="1" applyBorder="1" applyAlignment="1">
      <alignment horizontal="center" vertical="center"/>
    </xf>
    <xf numFmtId="170" fontId="0" fillId="0" borderId="12" xfId="47" applyNumberFormat="1" applyFont="1" applyBorder="1" applyAlignment="1">
      <alignment horizontal="center" vertical="center"/>
    </xf>
    <xf numFmtId="0" fontId="6" fillId="38" borderId="36" xfId="0" applyFont="1" applyFill="1" applyBorder="1" applyAlignment="1">
      <alignment horizontal="center"/>
    </xf>
    <xf numFmtId="0" fontId="6" fillId="38" borderId="36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right" vertical="center"/>
    </xf>
    <xf numFmtId="0" fontId="6" fillId="33" borderId="55" xfId="0" applyFont="1" applyFill="1" applyBorder="1" applyAlignment="1">
      <alignment horizontal="right" vertical="center"/>
    </xf>
    <xf numFmtId="0" fontId="6" fillId="8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right"/>
    </xf>
    <xf numFmtId="0" fontId="8" fillId="0" borderId="56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52" fillId="0" borderId="83" xfId="0" applyFont="1" applyBorder="1" applyAlignment="1">
      <alignment horizontal="center" vertical="center" wrapText="1"/>
    </xf>
    <xf numFmtId="49" fontId="15" fillId="0" borderId="62" xfId="0" applyNumberFormat="1" applyFont="1" applyBorder="1" applyAlignment="1">
      <alignment horizontal="center" vertical="center"/>
    </xf>
    <xf numFmtId="0" fontId="51" fillId="0" borderId="54" xfId="0" applyFont="1" applyBorder="1" applyAlignment="1">
      <alignment horizontal="right" vertical="center" wrapText="1"/>
    </xf>
    <xf numFmtId="193" fontId="7" fillId="0" borderId="21" xfId="47" applyNumberFormat="1" applyFont="1" applyBorder="1" applyAlignment="1">
      <alignment horizontal="right" vertical="center" wrapText="1"/>
    </xf>
    <xf numFmtId="0" fontId="52" fillId="0" borderId="84" xfId="0" applyFont="1" applyBorder="1" applyAlignment="1">
      <alignment horizontal="center" vertical="center" wrapText="1"/>
    </xf>
    <xf numFmtId="4" fontId="8" fillId="0" borderId="85" xfId="0" applyNumberFormat="1" applyFont="1" applyBorder="1" applyAlignment="1">
      <alignment horizontal="center" vertical="center" wrapText="1"/>
    </xf>
    <xf numFmtId="0" fontId="7" fillId="0" borderId="54" xfId="0" applyFont="1" applyBorder="1" applyAlignment="1">
      <alignment horizontal="right" vertical="center" wrapText="1"/>
    </xf>
    <xf numFmtId="0" fontId="52" fillId="35" borderId="83" xfId="0" applyFont="1" applyFill="1" applyBorder="1" applyAlignment="1">
      <alignment horizontal="center" vertical="center" wrapText="1"/>
    </xf>
    <xf numFmtId="4" fontId="8" fillId="0" borderId="62" xfId="0" applyNumberFormat="1" applyFont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/>
    </xf>
    <xf numFmtId="0" fontId="7" fillId="0" borderId="83" xfId="0" applyFont="1" applyBorder="1" applyAlignment="1">
      <alignment horizontal="center" vertical="center" wrapText="1"/>
    </xf>
    <xf numFmtId="170" fontId="7" fillId="0" borderId="62" xfId="47" applyFont="1" applyBorder="1" applyAlignment="1">
      <alignment horizontal="right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62" xfId="47" applyNumberFormat="1" applyFont="1" applyBorder="1" applyAlignment="1">
      <alignment horizontal="right" vertical="center" wrapText="1"/>
    </xf>
    <xf numFmtId="0" fontId="7" fillId="0" borderId="83" xfId="0" applyFont="1" applyBorder="1" applyAlignment="1">
      <alignment horizontal="righ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67" xfId="0" applyFont="1" applyBorder="1" applyAlignment="1">
      <alignment horizontal="left" vertical="center" wrapText="1"/>
    </xf>
    <xf numFmtId="0" fontId="7" fillId="0" borderId="86" xfId="0" applyFont="1" applyBorder="1" applyAlignment="1">
      <alignment horizontal="left" vertical="center" wrapText="1"/>
    </xf>
    <xf numFmtId="0" fontId="7" fillId="0" borderId="87" xfId="0" applyFont="1" applyBorder="1" applyAlignment="1">
      <alignment horizontal="left" vertical="center" wrapText="1"/>
    </xf>
    <xf numFmtId="0" fontId="8" fillId="0" borderId="86" xfId="0" applyFont="1" applyBorder="1" applyAlignment="1">
      <alignment vertical="center"/>
    </xf>
    <xf numFmtId="0" fontId="8" fillId="0" borderId="87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0" fillId="32" borderId="58" xfId="0" applyFill="1" applyBorder="1" applyAlignment="1">
      <alignment/>
    </xf>
    <xf numFmtId="0" fontId="0" fillId="32" borderId="59" xfId="0" applyFill="1" applyBorder="1" applyAlignment="1">
      <alignment wrapText="1"/>
    </xf>
    <xf numFmtId="0" fontId="0" fillId="32" borderId="86" xfId="0" applyFill="1" applyBorder="1" applyAlignment="1">
      <alignment/>
    </xf>
    <xf numFmtId="0" fontId="0" fillId="32" borderId="87" xfId="0" applyFill="1" applyBorder="1" applyAlignment="1">
      <alignment wrapText="1"/>
    </xf>
    <xf numFmtId="0" fontId="5" fillId="32" borderId="58" xfId="0" applyFont="1" applyFill="1" applyBorder="1" applyAlignment="1">
      <alignment horizontal="center"/>
    </xf>
    <xf numFmtId="0" fontId="5" fillId="32" borderId="59" xfId="0" applyFont="1" applyFill="1" applyBorder="1" applyAlignment="1">
      <alignment/>
    </xf>
    <xf numFmtId="0" fontId="0" fillId="32" borderId="86" xfId="0" applyFill="1" applyBorder="1" applyAlignment="1">
      <alignment/>
    </xf>
    <xf numFmtId="0" fontId="0" fillId="32" borderId="87" xfId="0" applyFill="1" applyBorder="1" applyAlignment="1">
      <alignment/>
    </xf>
    <xf numFmtId="0" fontId="6" fillId="32" borderId="59" xfId="0" applyFont="1" applyFill="1" applyBorder="1" applyAlignment="1">
      <alignment vertical="center"/>
    </xf>
    <xf numFmtId="177" fontId="6" fillId="32" borderId="19" xfId="0" applyNumberFormat="1" applyFont="1" applyFill="1" applyBorder="1" applyAlignment="1">
      <alignment horizontal="left" vertical="center"/>
    </xf>
    <xf numFmtId="0" fontId="6" fillId="32" borderId="62" xfId="0" applyFont="1" applyFill="1" applyBorder="1" applyAlignment="1">
      <alignment horizontal="center" vertical="center"/>
    </xf>
    <xf numFmtId="0" fontId="6" fillId="32" borderId="62" xfId="0" applyFont="1" applyFill="1" applyBorder="1" applyAlignment="1">
      <alignment horizontal="center" vertical="center"/>
    </xf>
    <xf numFmtId="10" fontId="8" fillId="32" borderId="88" xfId="0" applyNumberFormat="1" applyFont="1" applyFill="1" applyBorder="1" applyAlignment="1">
      <alignment vertical="top" wrapText="1"/>
    </xf>
    <xf numFmtId="177" fontId="8" fillId="32" borderId="89" xfId="0" applyNumberFormat="1" applyFont="1" applyFill="1" applyBorder="1" applyAlignment="1">
      <alignment vertical="top" wrapText="1"/>
    </xf>
    <xf numFmtId="177" fontId="8" fillId="32" borderId="90" xfId="0" applyNumberFormat="1" applyFont="1" applyFill="1" applyBorder="1" applyAlignment="1">
      <alignment vertical="top" wrapText="1"/>
    </xf>
    <xf numFmtId="10" fontId="8" fillId="32" borderId="89" xfId="52" applyNumberFormat="1" applyFont="1" applyFill="1" applyBorder="1" applyAlignment="1">
      <alignment vertical="top" wrapText="1"/>
    </xf>
    <xf numFmtId="0" fontId="7" fillId="0" borderId="91" xfId="0" applyFont="1" applyBorder="1" applyAlignment="1">
      <alignment horizontal="center" vertical="center" wrapText="1"/>
    </xf>
    <xf numFmtId="177" fontId="8" fillId="32" borderId="92" xfId="0" applyNumberFormat="1" applyFont="1" applyFill="1" applyBorder="1" applyAlignment="1">
      <alignment vertical="top" wrapText="1"/>
    </xf>
    <xf numFmtId="0" fontId="6" fillId="32" borderId="83" xfId="0" applyFont="1" applyFill="1" applyBorder="1" applyAlignment="1">
      <alignment horizontal="center" vertical="center" wrapText="1"/>
    </xf>
    <xf numFmtId="10" fontId="10" fillId="32" borderId="93" xfId="0" applyNumberFormat="1" applyFont="1" applyFill="1" applyBorder="1" applyAlignment="1">
      <alignment vertical="top" wrapText="1"/>
    </xf>
    <xf numFmtId="177" fontId="10" fillId="32" borderId="90" xfId="0" applyNumberFormat="1" applyFont="1" applyFill="1" applyBorder="1" applyAlignment="1">
      <alignment vertical="top" wrapText="1"/>
    </xf>
    <xf numFmtId="10" fontId="10" fillId="32" borderId="62" xfId="52" applyNumberFormat="1" applyFont="1" applyFill="1" applyBorder="1" applyAlignment="1">
      <alignment vertical="top" wrapText="1"/>
    </xf>
    <xf numFmtId="0" fontId="6" fillId="32" borderId="94" xfId="0" applyFont="1" applyFill="1" applyBorder="1" applyAlignment="1">
      <alignment horizontal="center" vertical="center" wrapText="1"/>
    </xf>
    <xf numFmtId="177" fontId="10" fillId="32" borderId="95" xfId="0" applyNumberFormat="1" applyFont="1" applyFill="1" applyBorder="1" applyAlignment="1">
      <alignment vertical="top" wrapText="1"/>
    </xf>
    <xf numFmtId="0" fontId="6" fillId="32" borderId="91" xfId="0" applyFont="1" applyFill="1" applyBorder="1" applyAlignment="1">
      <alignment horizontal="center" vertical="center" wrapText="1"/>
    </xf>
    <xf numFmtId="177" fontId="10" fillId="32" borderId="96" xfId="0" applyNumberFormat="1" applyFont="1" applyFill="1" applyBorder="1" applyAlignment="1">
      <alignment vertical="top" wrapText="1"/>
    </xf>
    <xf numFmtId="177" fontId="10" fillId="32" borderId="62" xfId="0" applyNumberFormat="1" applyFont="1" applyFill="1" applyBorder="1" applyAlignment="1">
      <alignment vertical="top" wrapText="1"/>
    </xf>
    <xf numFmtId="0" fontId="0" fillId="32" borderId="86" xfId="0" applyFill="1" applyBorder="1" applyAlignment="1">
      <alignment vertical="center"/>
    </xf>
    <xf numFmtId="0" fontId="0" fillId="32" borderId="59" xfId="0" applyFill="1" applyBorder="1" applyAlignment="1">
      <alignment vertical="center"/>
    </xf>
    <xf numFmtId="0" fontId="6" fillId="32" borderId="66" xfId="0" applyFont="1" applyFill="1" applyBorder="1" applyAlignment="1">
      <alignment wrapText="1"/>
    </xf>
    <xf numFmtId="0" fontId="0" fillId="32" borderId="67" xfId="0" applyFill="1" applyBorder="1" applyAlignment="1">
      <alignment/>
    </xf>
    <xf numFmtId="0" fontId="6" fillId="32" borderId="86" xfId="0" applyFont="1" applyFill="1" applyBorder="1" applyAlignment="1">
      <alignment wrapText="1"/>
    </xf>
    <xf numFmtId="0" fontId="6" fillId="32" borderId="87" xfId="0" applyFont="1" applyFill="1" applyBorder="1" applyAlignment="1">
      <alignment/>
    </xf>
    <xf numFmtId="0" fontId="8" fillId="0" borderId="86" xfId="0" applyFont="1" applyBorder="1" applyAlignment="1">
      <alignment horizontal="center" vertical="center"/>
    </xf>
    <xf numFmtId="0" fontId="0" fillId="32" borderId="86" xfId="0" applyFont="1" applyFill="1" applyBorder="1" applyAlignment="1">
      <alignment/>
    </xf>
    <xf numFmtId="0" fontId="11" fillId="35" borderId="87" xfId="0" applyFont="1" applyFill="1" applyBorder="1" applyAlignment="1">
      <alignment vertical="center"/>
    </xf>
    <xf numFmtId="0" fontId="7" fillId="32" borderId="86" xfId="0" applyFont="1" applyFill="1" applyBorder="1" applyAlignment="1">
      <alignment/>
    </xf>
    <xf numFmtId="0" fontId="8" fillId="0" borderId="56" xfId="0" applyFont="1" applyBorder="1" applyAlignment="1">
      <alignment horizontal="center" vertical="center"/>
    </xf>
    <xf numFmtId="0" fontId="0" fillId="35" borderId="68" xfId="0" applyFill="1" applyBorder="1" applyAlignment="1">
      <alignment/>
    </xf>
    <xf numFmtId="0" fontId="0" fillId="0" borderId="0" xfId="0" applyBorder="1" applyAlignment="1">
      <alignment/>
    </xf>
    <xf numFmtId="0" fontId="6" fillId="32" borderId="0" xfId="0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7" fillId="32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esquisa no referencial 10 de maio de 201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2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495300</xdr:colOff>
      <xdr:row>0</xdr:row>
      <xdr:rowOff>114300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762000" y="0"/>
          <a:ext cx="8477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171450</xdr:rowOff>
    </xdr:from>
    <xdr:to>
      <xdr:col>12</xdr:col>
      <xdr:colOff>0</xdr:colOff>
      <xdr:row>31</xdr:row>
      <xdr:rowOff>161925</xdr:rowOff>
    </xdr:to>
    <xdr:sp fLocksText="0">
      <xdr:nvSpPr>
        <xdr:cNvPr id="2" name="Text Box 7"/>
        <xdr:cNvSpPr txBox="1">
          <a:spLocks noChangeArrowheads="1"/>
        </xdr:cNvSpPr>
      </xdr:nvSpPr>
      <xdr:spPr>
        <a:xfrm>
          <a:off x="47625" y="5695950"/>
          <a:ext cx="13020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showZeros="0" view="pageBreakPreview" zoomScale="120" zoomScaleSheetLayoutView="120" zoomScalePageLayoutView="0" workbookViewId="0" topLeftCell="A7">
      <selection activeCell="A30" sqref="A30:H30"/>
    </sheetView>
  </sheetViews>
  <sheetFormatPr defaultColWidth="9.140625" defaultRowHeight="12.75"/>
  <cols>
    <col min="1" max="1" width="5.421875" style="1" bestFit="1" customWidth="1"/>
    <col min="2" max="2" width="15.57421875" style="1" customWidth="1"/>
    <col min="3" max="3" width="84.140625" style="1" bestFit="1" customWidth="1"/>
    <col min="4" max="4" width="9.140625" style="1" customWidth="1"/>
    <col min="5" max="7" width="12.28125" style="1" customWidth="1"/>
    <col min="8" max="8" width="19.57421875" style="1" customWidth="1"/>
    <col min="9" max="9" width="14.8515625" style="1" customWidth="1"/>
    <col min="10" max="10" width="9.140625" style="1" customWidth="1"/>
    <col min="11" max="11" width="10.421875" style="1" customWidth="1"/>
    <col min="12" max="12" width="13.28125" style="1" customWidth="1"/>
    <col min="13" max="13" width="10.421875" style="1" customWidth="1"/>
    <col min="14" max="16" width="9.140625" style="1" customWidth="1"/>
    <col min="17" max="17" width="11.28125" style="1" bestFit="1" customWidth="1"/>
    <col min="18" max="16384" width="9.140625" style="1" customWidth="1"/>
  </cols>
  <sheetData>
    <row r="1" spans="1:8" ht="13.5" thickBot="1">
      <c r="A1" s="211" t="s">
        <v>5</v>
      </c>
      <c r="B1" s="212"/>
      <c r="C1" s="212"/>
      <c r="D1" s="212"/>
      <c r="E1" s="212"/>
      <c r="F1" s="212"/>
      <c r="G1" s="212"/>
      <c r="H1" s="213"/>
    </row>
    <row r="2" spans="1:8" ht="3.75" customHeight="1" thickBot="1">
      <c r="A2" s="233"/>
      <c r="B2" s="233"/>
      <c r="C2" s="233"/>
      <c r="D2" s="233"/>
      <c r="E2" s="233"/>
      <c r="F2" s="233"/>
      <c r="G2" s="233"/>
      <c r="H2" s="233"/>
    </row>
    <row r="3" spans="1:8" ht="19.5" customHeight="1" thickBot="1">
      <c r="A3" s="230" t="s">
        <v>4</v>
      </c>
      <c r="B3" s="231"/>
      <c r="C3" s="231"/>
      <c r="D3" s="231"/>
      <c r="E3" s="231"/>
      <c r="F3" s="231"/>
      <c r="G3" s="231"/>
      <c r="H3" s="232"/>
    </row>
    <row r="4" spans="1:8" ht="3.75" customHeight="1" thickBot="1">
      <c r="A4" s="29"/>
      <c r="B4" s="29"/>
      <c r="C4" s="29"/>
      <c r="D4" s="29"/>
      <c r="E4" s="29"/>
      <c r="F4" s="29"/>
      <c r="G4" s="29"/>
      <c r="H4" s="29"/>
    </row>
    <row r="5" spans="1:8" ht="19.5" customHeight="1">
      <c r="A5" s="221" t="s">
        <v>20</v>
      </c>
      <c r="B5" s="222"/>
      <c r="C5" s="222"/>
      <c r="D5" s="222"/>
      <c r="E5" s="223"/>
      <c r="F5" s="30" t="s">
        <v>19</v>
      </c>
      <c r="G5" s="31"/>
      <c r="H5" s="32" t="s">
        <v>40</v>
      </c>
    </row>
    <row r="6" spans="1:8" ht="18" customHeight="1">
      <c r="A6" s="224" t="s">
        <v>73</v>
      </c>
      <c r="B6" s="225"/>
      <c r="C6" s="225"/>
      <c r="D6" s="225"/>
      <c r="E6" s="226"/>
      <c r="F6" s="218" t="s">
        <v>74</v>
      </c>
      <c r="G6" s="219"/>
      <c r="H6" s="220"/>
    </row>
    <row r="7" spans="1:8" ht="19.5" customHeight="1">
      <c r="A7" s="198" t="s">
        <v>72</v>
      </c>
      <c r="B7" s="199"/>
      <c r="C7" s="199"/>
      <c r="D7" s="200"/>
      <c r="E7" s="227" t="s">
        <v>12</v>
      </c>
      <c r="F7" s="228"/>
      <c r="G7" s="228"/>
      <c r="H7" s="229"/>
    </row>
    <row r="8" spans="1:8" ht="19.5" customHeight="1">
      <c r="A8" s="198" t="s">
        <v>75</v>
      </c>
      <c r="B8" s="199"/>
      <c r="C8" s="199"/>
      <c r="D8" s="200"/>
      <c r="E8" s="216" t="s">
        <v>21</v>
      </c>
      <c r="F8" s="214" t="s">
        <v>7</v>
      </c>
      <c r="G8" s="33" t="s">
        <v>9</v>
      </c>
      <c r="H8" s="34" t="s">
        <v>8</v>
      </c>
    </row>
    <row r="9" spans="1:8" ht="19.5" customHeight="1" thickBot="1">
      <c r="A9" s="205" t="s">
        <v>169</v>
      </c>
      <c r="B9" s="206"/>
      <c r="C9" s="206"/>
      <c r="D9" s="207"/>
      <c r="E9" s="217"/>
      <c r="F9" s="215"/>
      <c r="G9" s="35" t="s">
        <v>10</v>
      </c>
      <c r="H9" s="70">
        <v>0.2393</v>
      </c>
    </row>
    <row r="10" spans="1:8" ht="3.75" customHeight="1" thickBot="1">
      <c r="A10" s="201"/>
      <c r="B10" s="201"/>
      <c r="C10" s="201"/>
      <c r="D10" s="201"/>
      <c r="E10" s="201"/>
      <c r="F10" s="201"/>
      <c r="G10" s="201"/>
      <c r="H10" s="201"/>
    </row>
    <row r="11" spans="1:13" ht="36.75" thickBot="1">
      <c r="A11" s="36" t="s">
        <v>0</v>
      </c>
      <c r="B11" s="37" t="s">
        <v>6</v>
      </c>
      <c r="C11" s="37" t="s">
        <v>1</v>
      </c>
      <c r="D11" s="37" t="s">
        <v>3</v>
      </c>
      <c r="E11" s="37" t="s">
        <v>2</v>
      </c>
      <c r="F11" s="38" t="s">
        <v>13</v>
      </c>
      <c r="G11" s="38" t="s">
        <v>14</v>
      </c>
      <c r="H11" s="39" t="s">
        <v>11</v>
      </c>
      <c r="K11" s="60"/>
      <c r="L11" s="61"/>
      <c r="M11" s="61"/>
    </row>
    <row r="12" spans="1:9" ht="15.75" customHeight="1">
      <c r="A12" s="40">
        <v>1</v>
      </c>
      <c r="B12" s="41" t="s">
        <v>34</v>
      </c>
      <c r="C12" s="42" t="s">
        <v>33</v>
      </c>
      <c r="D12" s="43"/>
      <c r="E12" s="44"/>
      <c r="F12" s="44"/>
      <c r="G12" s="44">
        <f>F12+(F12*$H$9)</f>
        <v>0</v>
      </c>
      <c r="H12" s="45">
        <f>E12*G12</f>
        <v>0</v>
      </c>
      <c r="I12" s="4"/>
    </row>
    <row r="13" spans="1:15" ht="48">
      <c r="A13" s="79" t="s">
        <v>15</v>
      </c>
      <c r="B13" s="80" t="s">
        <v>96</v>
      </c>
      <c r="C13" s="81" t="s">
        <v>97</v>
      </c>
      <c r="D13" s="80" t="s">
        <v>98</v>
      </c>
      <c r="E13" s="80">
        <v>1</v>
      </c>
      <c r="F13" s="104">
        <v>1396.17</v>
      </c>
      <c r="G13" s="69">
        <f>ROUND(F13+(F13*$H$9),2)</f>
        <v>1730.27</v>
      </c>
      <c r="H13" s="182">
        <f>ROUND(E13*G13,2)</f>
        <v>1730.27</v>
      </c>
      <c r="I13" s="4"/>
      <c r="K13" s="46"/>
      <c r="L13" s="64"/>
      <c r="M13" s="62"/>
      <c r="O13" s="4"/>
    </row>
    <row r="14" spans="1:12" ht="12.75" customHeight="1">
      <c r="A14" s="194" t="s">
        <v>37</v>
      </c>
      <c r="B14" s="195"/>
      <c r="C14" s="195"/>
      <c r="D14" s="195"/>
      <c r="E14" s="196"/>
      <c r="F14" s="202">
        <f>SUM(H13:H13)</f>
        <v>1730.27</v>
      </c>
      <c r="G14" s="203"/>
      <c r="H14" s="204"/>
      <c r="I14" s="24">
        <f>F14</f>
        <v>1730.27</v>
      </c>
      <c r="L14" s="62"/>
    </row>
    <row r="15" spans="1:12" ht="12.75">
      <c r="A15" s="83">
        <v>2</v>
      </c>
      <c r="B15" s="84" t="s">
        <v>35</v>
      </c>
      <c r="C15" s="85" t="s">
        <v>41</v>
      </c>
      <c r="D15" s="86"/>
      <c r="E15" s="87"/>
      <c r="F15" s="52">
        <v>0</v>
      </c>
      <c r="G15" s="52">
        <f>F15+(F15*$H$9)</f>
        <v>0</v>
      </c>
      <c r="H15" s="53">
        <f>E15*G15</f>
        <v>0</v>
      </c>
      <c r="I15" s="4"/>
      <c r="L15" s="62"/>
    </row>
    <row r="16" spans="1:13" ht="24">
      <c r="A16" s="88" t="s">
        <v>16</v>
      </c>
      <c r="B16" s="89" t="s">
        <v>99</v>
      </c>
      <c r="C16" s="90" t="s">
        <v>100</v>
      </c>
      <c r="D16" s="91" t="s">
        <v>43</v>
      </c>
      <c r="E16" s="82">
        <v>1322.5</v>
      </c>
      <c r="F16" s="46">
        <v>10.01</v>
      </c>
      <c r="G16" s="46">
        <f>ROUND(F16+F16*$H$9,2)</f>
        <v>12.41</v>
      </c>
      <c r="H16" s="47">
        <f>ROUND(E16*G16,2)</f>
        <v>16412.23</v>
      </c>
      <c r="I16" s="4"/>
      <c r="K16" s="57"/>
      <c r="L16" s="62"/>
      <c r="M16" s="63"/>
    </row>
    <row r="17" spans="1:12" ht="12.75" customHeight="1">
      <c r="A17" s="208" t="s">
        <v>38</v>
      </c>
      <c r="B17" s="209"/>
      <c r="C17" s="209"/>
      <c r="D17" s="209"/>
      <c r="E17" s="210"/>
      <c r="F17" s="202">
        <f>SUM(H16:H16)</f>
        <v>16412.23</v>
      </c>
      <c r="G17" s="203"/>
      <c r="H17" s="204"/>
      <c r="I17" s="24">
        <f>F17</f>
        <v>16412.23</v>
      </c>
      <c r="L17" s="62"/>
    </row>
    <row r="18" spans="1:12" s="2" customFormat="1" ht="12.75">
      <c r="A18" s="48">
        <v>3</v>
      </c>
      <c r="B18" s="49" t="s">
        <v>36</v>
      </c>
      <c r="C18" s="50" t="s">
        <v>101</v>
      </c>
      <c r="D18" s="51"/>
      <c r="E18" s="52"/>
      <c r="F18" s="52">
        <v>0</v>
      </c>
      <c r="G18" s="52">
        <f>F18+(F18*$H$9)</f>
        <v>0</v>
      </c>
      <c r="H18" s="53">
        <f>E18*G18</f>
        <v>0</v>
      </c>
      <c r="I18" s="3"/>
      <c r="L18" s="62"/>
    </row>
    <row r="19" spans="1:13" s="2" customFormat="1" ht="24">
      <c r="A19" s="167" t="s">
        <v>17</v>
      </c>
      <c r="B19" s="95" t="s">
        <v>103</v>
      </c>
      <c r="C19" s="105" t="s">
        <v>104</v>
      </c>
      <c r="D19" s="97" t="s">
        <v>43</v>
      </c>
      <c r="E19" s="98">
        <v>2805.68</v>
      </c>
      <c r="F19" s="98">
        <v>15.14</v>
      </c>
      <c r="G19" s="98">
        <f aca="true" t="shared" si="0" ref="G19:G24">ROUND(F19+F19*$H$9,2)</f>
        <v>18.76</v>
      </c>
      <c r="H19" s="98">
        <f aca="true" t="shared" si="1" ref="H19:H24">ROUND(E19*G19,2)</f>
        <v>52634.56</v>
      </c>
      <c r="I19" s="3"/>
      <c r="K19" s="58"/>
      <c r="L19" s="62"/>
      <c r="M19" s="63"/>
    </row>
    <row r="20" spans="1:13" s="2" customFormat="1" ht="12.75">
      <c r="A20" s="167" t="s">
        <v>68</v>
      </c>
      <c r="B20" s="95" t="s">
        <v>134</v>
      </c>
      <c r="C20" s="105" t="s">
        <v>135</v>
      </c>
      <c r="D20" s="97" t="s">
        <v>43</v>
      </c>
      <c r="E20" s="98">
        <v>2805.68</v>
      </c>
      <c r="F20" s="98">
        <v>2.97</v>
      </c>
      <c r="G20" s="98">
        <f t="shared" si="0"/>
        <v>3.68</v>
      </c>
      <c r="H20" s="98">
        <f t="shared" si="1"/>
        <v>10324.9</v>
      </c>
      <c r="I20" s="3"/>
      <c r="K20" s="63"/>
      <c r="L20" s="62"/>
      <c r="M20" s="63"/>
    </row>
    <row r="21" spans="1:13" s="2" customFormat="1" ht="24">
      <c r="A21" s="167" t="s">
        <v>102</v>
      </c>
      <c r="B21" s="95" t="s">
        <v>136</v>
      </c>
      <c r="C21" s="105" t="s">
        <v>137</v>
      </c>
      <c r="D21" s="97" t="s">
        <v>43</v>
      </c>
      <c r="E21" s="98">
        <v>2805.68</v>
      </c>
      <c r="F21" s="98">
        <v>6.82</v>
      </c>
      <c r="G21" s="98">
        <f t="shared" si="0"/>
        <v>8.45</v>
      </c>
      <c r="H21" s="98">
        <f t="shared" si="1"/>
        <v>23708</v>
      </c>
      <c r="I21" s="3"/>
      <c r="K21" s="63"/>
      <c r="L21" s="62"/>
      <c r="M21" s="63"/>
    </row>
    <row r="22" spans="1:13" s="2" customFormat="1" ht="24">
      <c r="A22" s="69" t="s">
        <v>131</v>
      </c>
      <c r="B22" s="69" t="s">
        <v>105</v>
      </c>
      <c r="C22" s="106" t="s">
        <v>106</v>
      </c>
      <c r="D22" s="97" t="s">
        <v>43</v>
      </c>
      <c r="E22" s="98">
        <v>125.94</v>
      </c>
      <c r="F22" s="98">
        <v>36.7</v>
      </c>
      <c r="G22" s="98">
        <f t="shared" si="0"/>
        <v>45.48</v>
      </c>
      <c r="H22" s="98">
        <f t="shared" si="1"/>
        <v>5727.75</v>
      </c>
      <c r="I22" s="3"/>
      <c r="K22" s="63"/>
      <c r="L22" s="62"/>
      <c r="M22" s="63"/>
    </row>
    <row r="23" spans="1:13" s="2" customFormat="1" ht="12.75">
      <c r="A23" s="69" t="s">
        <v>132</v>
      </c>
      <c r="B23" s="69" t="s">
        <v>138</v>
      </c>
      <c r="C23" s="106" t="s">
        <v>139</v>
      </c>
      <c r="D23" s="97" t="s">
        <v>43</v>
      </c>
      <c r="E23" s="98">
        <v>125.94</v>
      </c>
      <c r="F23" s="98">
        <v>5.01</v>
      </c>
      <c r="G23" s="98">
        <f t="shared" si="0"/>
        <v>6.21</v>
      </c>
      <c r="H23" s="98">
        <f t="shared" si="1"/>
        <v>782.09</v>
      </c>
      <c r="I23" s="3"/>
      <c r="K23" s="63"/>
      <c r="L23" s="62"/>
      <c r="M23" s="63"/>
    </row>
    <row r="24" spans="1:13" s="2" customFormat="1" ht="12.75">
      <c r="A24" s="154" t="s">
        <v>133</v>
      </c>
      <c r="B24" s="95" t="s">
        <v>108</v>
      </c>
      <c r="C24" s="96" t="s">
        <v>122</v>
      </c>
      <c r="D24" s="97" t="s">
        <v>43</v>
      </c>
      <c r="E24" s="98">
        <v>48.56</v>
      </c>
      <c r="F24" s="98">
        <v>12.63</v>
      </c>
      <c r="G24" s="98">
        <f t="shared" si="0"/>
        <v>15.65</v>
      </c>
      <c r="H24" s="98">
        <f t="shared" si="1"/>
        <v>759.96</v>
      </c>
      <c r="I24" s="3"/>
      <c r="K24" s="63"/>
      <c r="L24" s="62"/>
      <c r="M24" s="63"/>
    </row>
    <row r="25" spans="1:12" s="2" customFormat="1" ht="12.75" customHeight="1">
      <c r="A25" s="208" t="s">
        <v>39</v>
      </c>
      <c r="B25" s="209"/>
      <c r="C25" s="209"/>
      <c r="D25" s="209"/>
      <c r="E25" s="210"/>
      <c r="F25" s="202">
        <f>SUM(H19:H24)</f>
        <v>93937.26</v>
      </c>
      <c r="G25" s="203"/>
      <c r="H25" s="204"/>
      <c r="I25" s="59">
        <f>F25</f>
        <v>93937.26</v>
      </c>
      <c r="L25" s="62"/>
    </row>
    <row r="26" spans="1:19" s="2" customFormat="1" ht="13.5" customHeight="1">
      <c r="A26" s="175">
        <v>4</v>
      </c>
      <c r="B26" s="175">
        <v>4</v>
      </c>
      <c r="C26" s="176" t="s">
        <v>154</v>
      </c>
      <c r="D26" s="173"/>
      <c r="E26" s="173"/>
      <c r="F26" s="174"/>
      <c r="G26" s="174"/>
      <c r="H26" s="174"/>
      <c r="I26" s="3">
        <f>SUM(I14:I25)</f>
        <v>112079.76</v>
      </c>
      <c r="O26" s="3"/>
      <c r="S26" s="2">
        <v>5.95</v>
      </c>
    </row>
    <row r="27" spans="1:19" s="2" customFormat="1" ht="24">
      <c r="A27" s="177" t="s">
        <v>155</v>
      </c>
      <c r="B27" s="177" t="s">
        <v>156</v>
      </c>
      <c r="C27" s="178" t="s">
        <v>157</v>
      </c>
      <c r="D27" s="177" t="s">
        <v>158</v>
      </c>
      <c r="E27" s="177">
        <v>368</v>
      </c>
      <c r="F27" s="180">
        <v>2.79</v>
      </c>
      <c r="G27" s="181">
        <f>ROUND(F27+H9*$F$27,2)</f>
        <v>3.46</v>
      </c>
      <c r="H27" s="179">
        <f>ROUND(E27*G27,2)</f>
        <v>1273.28</v>
      </c>
      <c r="I27" s="3"/>
      <c r="S27" s="2">
        <v>14.75</v>
      </c>
    </row>
    <row r="28" spans="1:9" s="2" customFormat="1" ht="12.75">
      <c r="A28" s="235" t="s">
        <v>159</v>
      </c>
      <c r="B28" s="235"/>
      <c r="C28" s="235"/>
      <c r="D28" s="235"/>
      <c r="E28" s="235"/>
      <c r="F28" s="236">
        <f>H27</f>
        <v>1273.28</v>
      </c>
      <c r="G28" s="203"/>
      <c r="H28" s="204"/>
      <c r="I28" s="3"/>
    </row>
    <row r="29" spans="1:19" ht="18" customHeight="1" thickBot="1">
      <c r="A29" s="237" t="s">
        <v>18</v>
      </c>
      <c r="B29" s="238"/>
      <c r="C29" s="238"/>
      <c r="D29" s="238"/>
      <c r="E29" s="238"/>
      <c r="F29" s="238"/>
      <c r="G29" s="239"/>
      <c r="H29" s="54">
        <f>SUM(F14,F17,F25,F28)</f>
        <v>113353.04</v>
      </c>
      <c r="I29" s="4"/>
      <c r="S29" s="1">
        <v>5.3</v>
      </c>
    </row>
    <row r="30" spans="1:19" ht="18" customHeight="1">
      <c r="A30" s="240" t="s">
        <v>153</v>
      </c>
      <c r="B30" s="240"/>
      <c r="C30" s="240"/>
      <c r="D30" s="240"/>
      <c r="E30" s="240"/>
      <c r="F30" s="240"/>
      <c r="G30" s="240"/>
      <c r="H30" s="240"/>
      <c r="S30" s="1">
        <v>7.65</v>
      </c>
    </row>
    <row r="31" spans="1:8" ht="18" customHeight="1">
      <c r="A31" s="65"/>
      <c r="B31" s="65"/>
      <c r="C31" s="65"/>
      <c r="D31" s="65"/>
      <c r="E31" s="65"/>
      <c r="F31" s="65"/>
      <c r="G31" s="65"/>
      <c r="H31" s="65"/>
    </row>
    <row r="32" spans="1:8" ht="18" customHeight="1">
      <c r="A32" s="55"/>
      <c r="B32" s="241"/>
      <c r="C32" s="241"/>
      <c r="D32" s="55"/>
      <c r="E32" s="234"/>
      <c r="F32" s="234"/>
      <c r="G32" s="56"/>
      <c r="H32" s="55"/>
    </row>
    <row r="33" spans="1:8" ht="18" customHeight="1">
      <c r="A33" s="55"/>
      <c r="B33" s="197" t="str">
        <f>Cronograma!A28</f>
        <v>DOUGLAS ÁVILA MOREIRA - PREFEITO MUNICIPAL DE AREADO/MG</v>
      </c>
      <c r="C33" s="197"/>
      <c r="D33" s="55"/>
      <c r="E33" s="234"/>
      <c r="F33" s="234"/>
      <c r="G33" s="56"/>
      <c r="H33" s="55"/>
    </row>
    <row r="34" spans="1:8" ht="18" customHeight="1">
      <c r="A34" s="55"/>
      <c r="B34" s="66"/>
      <c r="C34" s="66"/>
      <c r="D34" s="55"/>
      <c r="E34" s="56"/>
      <c r="F34" s="56"/>
      <c r="G34" s="56"/>
      <c r="H34" s="55"/>
    </row>
    <row r="35" spans="1:19" ht="12.75">
      <c r="A35" s="55"/>
      <c r="B35" s="66"/>
      <c r="C35" s="66"/>
      <c r="D35" s="55"/>
      <c r="E35" s="56"/>
      <c r="F35" s="56"/>
      <c r="G35" s="56"/>
      <c r="H35" s="55"/>
      <c r="S35" s="1">
        <f>SUM(S26:S34)</f>
        <v>33.65</v>
      </c>
    </row>
    <row r="36" spans="1:8" ht="11.25" customHeight="1">
      <c r="A36" s="55"/>
      <c r="B36" s="197" t="s">
        <v>42</v>
      </c>
      <c r="C36" s="197"/>
      <c r="D36" s="55"/>
      <c r="E36" s="56"/>
      <c r="F36" s="56"/>
      <c r="G36" s="56"/>
      <c r="H36" s="55"/>
    </row>
    <row r="37" spans="1:8" ht="12.75">
      <c r="A37" s="55"/>
      <c r="B37" s="66"/>
      <c r="C37" s="66"/>
      <c r="D37" s="55"/>
      <c r="E37" s="56"/>
      <c r="F37" s="56"/>
      <c r="G37" s="56"/>
      <c r="H37" s="55"/>
    </row>
    <row r="38" spans="1:8" ht="4.5" customHeight="1">
      <c r="A38" s="55"/>
      <c r="B38" s="234"/>
      <c r="C38" s="234"/>
      <c r="D38" s="55"/>
      <c r="E38" s="234"/>
      <c r="F38" s="234"/>
      <c r="G38" s="56"/>
      <c r="H38" s="55"/>
    </row>
  </sheetData>
  <sheetProtection/>
  <mergeCells count="30">
    <mergeCell ref="E33:F33"/>
    <mergeCell ref="B36:C36"/>
    <mergeCell ref="B38:C38"/>
    <mergeCell ref="E38:F38"/>
    <mergeCell ref="A28:E28"/>
    <mergeCell ref="F28:H28"/>
    <mergeCell ref="A29:G29"/>
    <mergeCell ref="A30:H30"/>
    <mergeCell ref="B32:C32"/>
    <mergeCell ref="E32:F32"/>
    <mergeCell ref="A1:H1"/>
    <mergeCell ref="F8:F9"/>
    <mergeCell ref="E8:E9"/>
    <mergeCell ref="F6:H6"/>
    <mergeCell ref="A5:E5"/>
    <mergeCell ref="A6:E6"/>
    <mergeCell ref="E7:H7"/>
    <mergeCell ref="A3:H3"/>
    <mergeCell ref="A2:H2"/>
    <mergeCell ref="A7:D7"/>
    <mergeCell ref="A14:E14"/>
    <mergeCell ref="B33:C33"/>
    <mergeCell ref="A8:D8"/>
    <mergeCell ref="A10:H10"/>
    <mergeCell ref="F17:H17"/>
    <mergeCell ref="F25:H25"/>
    <mergeCell ref="A9:D9"/>
    <mergeCell ref="A17:E17"/>
    <mergeCell ref="A25:E25"/>
    <mergeCell ref="F14:H14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showZeros="0" tabSelected="1" view="pageBreakPreview" zoomScale="120" zoomScaleSheetLayoutView="120" zoomScalePageLayoutView="0" workbookViewId="0" topLeftCell="A4">
      <selection activeCell="A5" sqref="A5:E5"/>
    </sheetView>
  </sheetViews>
  <sheetFormatPr defaultColWidth="9.140625" defaultRowHeight="12.75"/>
  <cols>
    <col min="1" max="1" width="5.421875" style="1" bestFit="1" customWidth="1"/>
    <col min="2" max="2" width="15.57421875" style="1" customWidth="1"/>
    <col min="3" max="3" width="84.140625" style="1" bestFit="1" customWidth="1"/>
    <col min="4" max="4" width="9.140625" style="1" customWidth="1"/>
    <col min="5" max="7" width="12.28125" style="1" customWidth="1"/>
    <col min="8" max="8" width="19.57421875" style="1" customWidth="1"/>
    <col min="9" max="9" width="14.8515625" style="1" customWidth="1"/>
    <col min="10" max="10" width="9.140625" style="1" customWidth="1"/>
    <col min="11" max="11" width="10.421875" style="1" customWidth="1"/>
    <col min="12" max="12" width="13.28125" style="1" customWidth="1"/>
    <col min="13" max="13" width="10.421875" style="1" customWidth="1"/>
    <col min="14" max="16" width="9.140625" style="1" customWidth="1"/>
    <col min="17" max="17" width="11.28125" style="1" bestFit="1" customWidth="1"/>
    <col min="18" max="16384" width="9.140625" style="1" customWidth="1"/>
  </cols>
  <sheetData>
    <row r="1" spans="1:8" ht="13.5" thickBot="1">
      <c r="A1" s="211" t="s">
        <v>5</v>
      </c>
      <c r="B1" s="212"/>
      <c r="C1" s="212"/>
      <c r="D1" s="212"/>
      <c r="E1" s="212"/>
      <c r="F1" s="212"/>
      <c r="G1" s="212"/>
      <c r="H1" s="213"/>
    </row>
    <row r="2" spans="1:8" ht="3.75" customHeight="1" thickBot="1">
      <c r="A2" s="295"/>
      <c r="B2" s="233"/>
      <c r="C2" s="233"/>
      <c r="D2" s="233"/>
      <c r="E2" s="233"/>
      <c r="F2" s="233"/>
      <c r="G2" s="233"/>
      <c r="H2" s="296"/>
    </row>
    <row r="3" spans="1:8" ht="19.5" customHeight="1" thickBot="1">
      <c r="A3" s="230" t="s">
        <v>4</v>
      </c>
      <c r="B3" s="231"/>
      <c r="C3" s="231"/>
      <c r="D3" s="231"/>
      <c r="E3" s="231"/>
      <c r="F3" s="231"/>
      <c r="G3" s="231"/>
      <c r="H3" s="232"/>
    </row>
    <row r="4" spans="1:8" ht="3.75" customHeight="1" thickBot="1">
      <c r="A4" s="297"/>
      <c r="B4" s="29"/>
      <c r="C4" s="29"/>
      <c r="D4" s="29"/>
      <c r="E4" s="29"/>
      <c r="F4" s="29"/>
      <c r="G4" s="29"/>
      <c r="H4" s="298"/>
    </row>
    <row r="5" spans="1:8" ht="19.5" customHeight="1">
      <c r="A5" s="221" t="s">
        <v>20</v>
      </c>
      <c r="B5" s="222"/>
      <c r="C5" s="222"/>
      <c r="D5" s="222"/>
      <c r="E5" s="223"/>
      <c r="F5" s="30" t="s">
        <v>19</v>
      </c>
      <c r="G5" s="31"/>
      <c r="H5" s="32" t="s">
        <v>40</v>
      </c>
    </row>
    <row r="6" spans="1:8" ht="18" customHeight="1">
      <c r="A6" s="224" t="s">
        <v>73</v>
      </c>
      <c r="B6" s="225"/>
      <c r="C6" s="225"/>
      <c r="D6" s="225"/>
      <c r="E6" s="226"/>
      <c r="F6" s="218" t="s">
        <v>74</v>
      </c>
      <c r="G6" s="219"/>
      <c r="H6" s="220"/>
    </row>
    <row r="7" spans="1:8" ht="19.5" customHeight="1">
      <c r="A7" s="198" t="s">
        <v>72</v>
      </c>
      <c r="B7" s="199"/>
      <c r="C7" s="199"/>
      <c r="D7" s="200"/>
      <c r="E7" s="227" t="s">
        <v>12</v>
      </c>
      <c r="F7" s="228"/>
      <c r="G7" s="228"/>
      <c r="H7" s="229"/>
    </row>
    <row r="8" spans="1:8" ht="19.5" customHeight="1">
      <c r="A8" s="198" t="s">
        <v>75</v>
      </c>
      <c r="B8" s="199"/>
      <c r="C8" s="199"/>
      <c r="D8" s="200"/>
      <c r="E8" s="216" t="s">
        <v>21</v>
      </c>
      <c r="F8" s="214" t="s">
        <v>7</v>
      </c>
      <c r="G8" s="33" t="s">
        <v>9</v>
      </c>
      <c r="H8" s="34" t="s">
        <v>8</v>
      </c>
    </row>
    <row r="9" spans="1:8" ht="19.5" customHeight="1" thickBot="1">
      <c r="A9" s="205" t="s">
        <v>169</v>
      </c>
      <c r="B9" s="206"/>
      <c r="C9" s="206"/>
      <c r="D9" s="207"/>
      <c r="E9" s="217"/>
      <c r="F9" s="215"/>
      <c r="G9" s="35" t="s">
        <v>10</v>
      </c>
      <c r="H9" s="70">
        <v>0.2393</v>
      </c>
    </row>
    <row r="10" spans="1:8" ht="3.75" customHeight="1" thickBot="1">
      <c r="A10" s="299"/>
      <c r="B10" s="201"/>
      <c r="C10" s="201"/>
      <c r="D10" s="201"/>
      <c r="E10" s="201"/>
      <c r="F10" s="201"/>
      <c r="G10" s="201"/>
      <c r="H10" s="300"/>
    </row>
    <row r="11" spans="1:13" ht="36.75" thickBot="1">
      <c r="A11" s="36" t="s">
        <v>0</v>
      </c>
      <c r="B11" s="37" t="s">
        <v>6</v>
      </c>
      <c r="C11" s="37" t="s">
        <v>1</v>
      </c>
      <c r="D11" s="37" t="s">
        <v>3</v>
      </c>
      <c r="E11" s="37" t="s">
        <v>2</v>
      </c>
      <c r="F11" s="38" t="s">
        <v>13</v>
      </c>
      <c r="G11" s="38" t="s">
        <v>14</v>
      </c>
      <c r="H11" s="39" t="s">
        <v>11</v>
      </c>
      <c r="K11" s="60"/>
      <c r="L11" s="61"/>
      <c r="M11" s="61"/>
    </row>
    <row r="12" spans="1:9" ht="15.75" customHeight="1">
      <c r="A12" s="40">
        <v>1</v>
      </c>
      <c r="B12" s="41" t="s">
        <v>34</v>
      </c>
      <c r="C12" s="42" t="s">
        <v>33</v>
      </c>
      <c r="D12" s="43"/>
      <c r="E12" s="44"/>
      <c r="F12" s="44"/>
      <c r="G12" s="44">
        <f>F12+(F12*$H$9)</f>
        <v>0</v>
      </c>
      <c r="H12" s="45">
        <f>E12*G12</f>
        <v>0</v>
      </c>
      <c r="I12" s="4"/>
    </row>
    <row r="13" spans="1:15" ht="48">
      <c r="A13" s="301" t="s">
        <v>15</v>
      </c>
      <c r="B13" s="80" t="s">
        <v>96</v>
      </c>
      <c r="C13" s="81" t="s">
        <v>97</v>
      </c>
      <c r="D13" s="80" t="s">
        <v>98</v>
      </c>
      <c r="E13" s="80">
        <v>1</v>
      </c>
      <c r="F13" s="104">
        <v>1396.17</v>
      </c>
      <c r="G13" s="69">
        <f>ROUND(F13+(F13*$H$9),2)</f>
        <v>1730.27</v>
      </c>
      <c r="H13" s="302">
        <f>ROUND(E13*G13,2)</f>
        <v>1730.27</v>
      </c>
      <c r="I13" s="4"/>
      <c r="K13" s="46"/>
      <c r="L13" s="64"/>
      <c r="M13" s="62"/>
      <c r="O13" s="4"/>
    </row>
    <row r="14" spans="1:12" ht="12.75">
      <c r="A14" s="303" t="s">
        <v>37</v>
      </c>
      <c r="B14" s="195"/>
      <c r="C14" s="195"/>
      <c r="D14" s="195"/>
      <c r="E14" s="196"/>
      <c r="F14" s="202">
        <f>SUM(H13:H13)</f>
        <v>1730.27</v>
      </c>
      <c r="G14" s="203"/>
      <c r="H14" s="304"/>
      <c r="I14" s="24">
        <f>F14</f>
        <v>1730.27</v>
      </c>
      <c r="L14" s="62"/>
    </row>
    <row r="15" spans="1:12" ht="12.75">
      <c r="A15" s="83">
        <v>2</v>
      </c>
      <c r="B15" s="84" t="s">
        <v>35</v>
      </c>
      <c r="C15" s="85" t="s">
        <v>41</v>
      </c>
      <c r="D15" s="86"/>
      <c r="E15" s="87"/>
      <c r="F15" s="52">
        <v>0</v>
      </c>
      <c r="G15" s="52">
        <f>F15+(F15*$H$9)</f>
        <v>0</v>
      </c>
      <c r="H15" s="53">
        <f>E15*G15</f>
        <v>0</v>
      </c>
      <c r="I15" s="4"/>
      <c r="L15" s="62"/>
    </row>
    <row r="16" spans="1:13" ht="24">
      <c r="A16" s="305" t="s">
        <v>16</v>
      </c>
      <c r="B16" s="89" t="s">
        <v>99</v>
      </c>
      <c r="C16" s="90" t="s">
        <v>100</v>
      </c>
      <c r="D16" s="91" t="s">
        <v>43</v>
      </c>
      <c r="E16" s="82">
        <v>1322.5</v>
      </c>
      <c r="F16" s="46">
        <v>10.01</v>
      </c>
      <c r="G16" s="46">
        <f>ROUND(F16+F16*$H$9,2)</f>
        <v>12.41</v>
      </c>
      <c r="H16" s="306">
        <f>ROUND(E16*G16,2)</f>
        <v>16412.23</v>
      </c>
      <c r="I16" s="4"/>
      <c r="K16" s="57"/>
      <c r="L16" s="62"/>
      <c r="M16" s="63"/>
    </row>
    <row r="17" spans="1:12" ht="12.75">
      <c r="A17" s="307" t="s">
        <v>38</v>
      </c>
      <c r="B17" s="209"/>
      <c r="C17" s="209"/>
      <c r="D17" s="209"/>
      <c r="E17" s="210"/>
      <c r="F17" s="202">
        <f>SUM(H16:H16)</f>
        <v>16412.23</v>
      </c>
      <c r="G17" s="203"/>
      <c r="H17" s="304"/>
      <c r="I17" s="24">
        <f>F17</f>
        <v>16412.23</v>
      </c>
      <c r="L17" s="62"/>
    </row>
    <row r="18" spans="1:12" s="2" customFormat="1" ht="12.75">
      <c r="A18" s="48">
        <v>3</v>
      </c>
      <c r="B18" s="49" t="s">
        <v>36</v>
      </c>
      <c r="C18" s="50" t="s">
        <v>101</v>
      </c>
      <c r="D18" s="51"/>
      <c r="E18" s="52"/>
      <c r="F18" s="52">
        <v>0</v>
      </c>
      <c r="G18" s="52">
        <f>F18+(F18*$H$9)</f>
        <v>0</v>
      </c>
      <c r="H18" s="53">
        <f>E18*G18</f>
        <v>0</v>
      </c>
      <c r="I18" s="3"/>
      <c r="L18" s="62"/>
    </row>
    <row r="19" spans="1:13" s="2" customFormat="1" ht="24">
      <c r="A19" s="308" t="s">
        <v>17</v>
      </c>
      <c r="B19" s="95" t="s">
        <v>103</v>
      </c>
      <c r="C19" s="105" t="s">
        <v>104</v>
      </c>
      <c r="D19" s="97" t="s">
        <v>43</v>
      </c>
      <c r="E19" s="98">
        <v>2805.68</v>
      </c>
      <c r="F19" s="98">
        <v>15.14</v>
      </c>
      <c r="G19" s="98">
        <f aca="true" t="shared" si="0" ref="G19:G24">ROUND(F19+F19*$H$9,2)</f>
        <v>18.76</v>
      </c>
      <c r="H19" s="309">
        <f aca="true" t="shared" si="1" ref="H19:H24">ROUND(E19*G19,2)</f>
        <v>52634.56</v>
      </c>
      <c r="I19" s="3"/>
      <c r="K19" s="58"/>
      <c r="L19" s="62"/>
      <c r="M19" s="63"/>
    </row>
    <row r="20" spans="1:13" s="2" customFormat="1" ht="12.75">
      <c r="A20" s="308" t="s">
        <v>68</v>
      </c>
      <c r="B20" s="95" t="s">
        <v>134</v>
      </c>
      <c r="C20" s="105" t="s">
        <v>135</v>
      </c>
      <c r="D20" s="97" t="s">
        <v>43</v>
      </c>
      <c r="E20" s="98">
        <v>2805.68</v>
      </c>
      <c r="F20" s="98">
        <v>2.97</v>
      </c>
      <c r="G20" s="98">
        <f t="shared" si="0"/>
        <v>3.68</v>
      </c>
      <c r="H20" s="309">
        <f t="shared" si="1"/>
        <v>10324.9</v>
      </c>
      <c r="I20" s="3"/>
      <c r="K20" s="63"/>
      <c r="L20" s="62"/>
      <c r="M20" s="63"/>
    </row>
    <row r="21" spans="1:13" s="2" customFormat="1" ht="24">
      <c r="A21" s="308" t="s">
        <v>102</v>
      </c>
      <c r="B21" s="95" t="s">
        <v>136</v>
      </c>
      <c r="C21" s="105" t="s">
        <v>137</v>
      </c>
      <c r="D21" s="97" t="s">
        <v>43</v>
      </c>
      <c r="E21" s="98">
        <v>2805.68</v>
      </c>
      <c r="F21" s="98">
        <v>6.82</v>
      </c>
      <c r="G21" s="98">
        <f t="shared" si="0"/>
        <v>8.45</v>
      </c>
      <c r="H21" s="309">
        <f t="shared" si="1"/>
        <v>23708</v>
      </c>
      <c r="I21" s="3"/>
      <c r="K21" s="63"/>
      <c r="L21" s="62"/>
      <c r="M21" s="63"/>
    </row>
    <row r="22" spans="1:13" s="2" customFormat="1" ht="24">
      <c r="A22" s="310" t="s">
        <v>131</v>
      </c>
      <c r="B22" s="69" t="s">
        <v>105</v>
      </c>
      <c r="C22" s="106" t="s">
        <v>106</v>
      </c>
      <c r="D22" s="97" t="s">
        <v>43</v>
      </c>
      <c r="E22" s="98">
        <v>125.94</v>
      </c>
      <c r="F22" s="98">
        <v>36.7</v>
      </c>
      <c r="G22" s="98">
        <f t="shared" si="0"/>
        <v>45.48</v>
      </c>
      <c r="H22" s="309">
        <f t="shared" si="1"/>
        <v>5727.75</v>
      </c>
      <c r="I22" s="3"/>
      <c r="K22" s="63"/>
      <c r="L22" s="62"/>
      <c r="M22" s="63"/>
    </row>
    <row r="23" spans="1:13" s="2" customFormat="1" ht="12.75">
      <c r="A23" s="310" t="s">
        <v>132</v>
      </c>
      <c r="B23" s="69" t="s">
        <v>138</v>
      </c>
      <c r="C23" s="106" t="s">
        <v>139</v>
      </c>
      <c r="D23" s="97" t="s">
        <v>43</v>
      </c>
      <c r="E23" s="98">
        <v>125.94</v>
      </c>
      <c r="F23" s="98">
        <v>5.01</v>
      </c>
      <c r="G23" s="98">
        <f t="shared" si="0"/>
        <v>6.21</v>
      </c>
      <c r="H23" s="309">
        <f t="shared" si="1"/>
        <v>782.09</v>
      </c>
      <c r="I23" s="3"/>
      <c r="K23" s="63"/>
      <c r="L23" s="62"/>
      <c r="M23" s="63"/>
    </row>
    <row r="24" spans="1:13" s="2" customFormat="1" ht="12.75">
      <c r="A24" s="311" t="s">
        <v>133</v>
      </c>
      <c r="B24" s="95" t="s">
        <v>108</v>
      </c>
      <c r="C24" s="96" t="s">
        <v>122</v>
      </c>
      <c r="D24" s="97" t="s">
        <v>43</v>
      </c>
      <c r="E24" s="98">
        <v>48.56</v>
      </c>
      <c r="F24" s="98">
        <v>12.63</v>
      </c>
      <c r="G24" s="98">
        <f t="shared" si="0"/>
        <v>15.65</v>
      </c>
      <c r="H24" s="309">
        <f t="shared" si="1"/>
        <v>759.96</v>
      </c>
      <c r="I24" s="3"/>
      <c r="K24" s="63"/>
      <c r="L24" s="62"/>
      <c r="M24" s="63"/>
    </row>
    <row r="25" spans="1:12" s="2" customFormat="1" ht="12.75">
      <c r="A25" s="307" t="s">
        <v>39</v>
      </c>
      <c r="B25" s="209"/>
      <c r="C25" s="209"/>
      <c r="D25" s="209"/>
      <c r="E25" s="210"/>
      <c r="F25" s="202">
        <f>SUM(H19:H24)</f>
        <v>93937.26</v>
      </c>
      <c r="G25" s="203"/>
      <c r="H25" s="304"/>
      <c r="I25" s="59">
        <f>F25</f>
        <v>93937.26</v>
      </c>
      <c r="L25" s="62"/>
    </row>
    <row r="26" spans="1:12" s="2" customFormat="1" ht="12.75">
      <c r="A26" s="312">
        <v>4</v>
      </c>
      <c r="B26" s="175">
        <v>4</v>
      </c>
      <c r="C26" s="176" t="s">
        <v>154</v>
      </c>
      <c r="D26" s="173"/>
      <c r="E26" s="173"/>
      <c r="F26" s="174"/>
      <c r="G26" s="174"/>
      <c r="H26" s="313"/>
      <c r="I26" s="59"/>
      <c r="L26" s="62"/>
    </row>
    <row r="27" spans="1:12" s="2" customFormat="1" ht="24">
      <c r="A27" s="314" t="s">
        <v>155</v>
      </c>
      <c r="B27" s="177" t="s">
        <v>156</v>
      </c>
      <c r="C27" s="178" t="s">
        <v>157</v>
      </c>
      <c r="D27" s="177" t="s">
        <v>158</v>
      </c>
      <c r="E27" s="177">
        <v>368</v>
      </c>
      <c r="F27" s="180">
        <v>2.79</v>
      </c>
      <c r="G27" s="181">
        <f>ROUND(F27+H9*$F$27,2)</f>
        <v>3.46</v>
      </c>
      <c r="H27" s="315">
        <f>ROUND(E27*G27,2)</f>
        <v>1273.28</v>
      </c>
      <c r="I27" s="59"/>
      <c r="L27" s="62"/>
    </row>
    <row r="28" spans="1:12" s="2" customFormat="1" ht="12.75">
      <c r="A28" s="316" t="s">
        <v>159</v>
      </c>
      <c r="B28" s="235"/>
      <c r="C28" s="235"/>
      <c r="D28" s="235"/>
      <c r="E28" s="235"/>
      <c r="F28" s="236">
        <f>H27</f>
        <v>1273.28</v>
      </c>
      <c r="G28" s="203"/>
      <c r="H28" s="304"/>
      <c r="I28" s="59">
        <f>F28</f>
        <v>1273.28</v>
      </c>
      <c r="L28" s="62"/>
    </row>
    <row r="29" spans="1:19" s="2" customFormat="1" ht="13.5" thickBot="1">
      <c r="A29" s="237" t="s">
        <v>18</v>
      </c>
      <c r="B29" s="238"/>
      <c r="C29" s="238"/>
      <c r="D29" s="238"/>
      <c r="E29" s="238"/>
      <c r="F29" s="238"/>
      <c r="G29" s="239"/>
      <c r="H29" s="54">
        <f>SUM(F14,F17,F25,F28)</f>
        <v>113353.04</v>
      </c>
      <c r="I29" s="3">
        <f>SUM(I14:I25)</f>
        <v>112079.76</v>
      </c>
      <c r="O29" s="3"/>
      <c r="S29" s="2">
        <v>5.95</v>
      </c>
    </row>
    <row r="30" spans="1:19" s="2" customFormat="1" ht="12.75">
      <c r="A30" s="317" t="s">
        <v>172</v>
      </c>
      <c r="B30" s="240"/>
      <c r="C30" s="240"/>
      <c r="D30" s="240"/>
      <c r="E30" s="240"/>
      <c r="F30" s="240"/>
      <c r="G30" s="240"/>
      <c r="H30" s="318"/>
      <c r="I30" s="3"/>
      <c r="S30" s="2">
        <v>14.75</v>
      </c>
    </row>
    <row r="31" spans="1:9" s="2" customFormat="1" ht="12.75">
      <c r="A31" s="319"/>
      <c r="B31" s="65"/>
      <c r="C31" s="65"/>
      <c r="D31" s="65"/>
      <c r="E31" s="65"/>
      <c r="F31" s="65"/>
      <c r="G31" s="65"/>
      <c r="H31" s="320"/>
      <c r="I31" s="3"/>
    </row>
    <row r="32" spans="1:19" ht="18" customHeight="1">
      <c r="A32" s="321"/>
      <c r="B32" s="241"/>
      <c r="C32" s="241"/>
      <c r="D32" s="55"/>
      <c r="E32" s="234"/>
      <c r="F32" s="234"/>
      <c r="G32" s="56"/>
      <c r="H32" s="322"/>
      <c r="I32" s="4"/>
      <c r="S32" s="1">
        <v>5.3</v>
      </c>
    </row>
    <row r="33" spans="1:19" ht="18" customHeight="1">
      <c r="A33" s="321"/>
      <c r="B33" s="197" t="str">
        <f>Cronograma!A28</f>
        <v>DOUGLAS ÁVILA MOREIRA - PREFEITO MUNICIPAL DE AREADO/MG</v>
      </c>
      <c r="C33" s="197"/>
      <c r="D33" s="55"/>
      <c r="E33" s="234"/>
      <c r="F33" s="234"/>
      <c r="G33" s="56"/>
      <c r="H33" s="322"/>
      <c r="S33" s="1">
        <v>7.65</v>
      </c>
    </row>
    <row r="34" spans="1:8" ht="18" customHeight="1">
      <c r="A34" s="321"/>
      <c r="B34" s="66"/>
      <c r="C34" s="66"/>
      <c r="D34" s="55"/>
      <c r="E34" s="56"/>
      <c r="F34" s="56"/>
      <c r="G34" s="56"/>
      <c r="H34" s="322"/>
    </row>
    <row r="35" spans="1:8" ht="18" customHeight="1">
      <c r="A35" s="321"/>
      <c r="B35" s="66"/>
      <c r="C35" s="66"/>
      <c r="D35" s="55"/>
      <c r="E35" s="56"/>
      <c r="F35" s="56"/>
      <c r="G35" s="56"/>
      <c r="H35" s="322"/>
    </row>
    <row r="36" spans="1:8" ht="18" customHeight="1">
      <c r="A36" s="321"/>
      <c r="B36" s="197" t="s">
        <v>42</v>
      </c>
      <c r="C36" s="197"/>
      <c r="D36" s="55"/>
      <c r="E36" s="56"/>
      <c r="F36" s="56"/>
      <c r="G36" s="56"/>
      <c r="H36" s="322"/>
    </row>
    <row r="37" spans="1:8" ht="18" customHeight="1">
      <c r="A37" s="321"/>
      <c r="B37" s="66"/>
      <c r="C37" s="66"/>
      <c r="D37" s="55"/>
      <c r="E37" s="56"/>
      <c r="F37" s="56"/>
      <c r="G37" s="56"/>
      <c r="H37" s="322"/>
    </row>
    <row r="38" spans="1:19" ht="13.5" thickBot="1">
      <c r="A38" s="323"/>
      <c r="B38" s="251"/>
      <c r="C38" s="251"/>
      <c r="D38" s="324"/>
      <c r="E38" s="251"/>
      <c r="F38" s="251"/>
      <c r="G38" s="192"/>
      <c r="H38" s="325"/>
      <c r="S38" s="1">
        <f>SUM(S29:S37)</f>
        <v>33.65</v>
      </c>
    </row>
    <row r="39" ht="11.25" customHeight="1"/>
    <row r="41" ht="4.5" customHeight="1"/>
  </sheetData>
  <sheetProtection/>
  <mergeCells count="30">
    <mergeCell ref="A7:D7"/>
    <mergeCell ref="E7:H7"/>
    <mergeCell ref="A1:H1"/>
    <mergeCell ref="A2:H2"/>
    <mergeCell ref="A3:H3"/>
    <mergeCell ref="A5:E5"/>
    <mergeCell ref="A6:E6"/>
    <mergeCell ref="F6:H6"/>
    <mergeCell ref="A8:D8"/>
    <mergeCell ref="E8:E9"/>
    <mergeCell ref="F8:F9"/>
    <mergeCell ref="A9:D9"/>
    <mergeCell ref="A10:H10"/>
    <mergeCell ref="A14:E14"/>
    <mergeCell ref="F14:H14"/>
    <mergeCell ref="B36:C36"/>
    <mergeCell ref="B38:C38"/>
    <mergeCell ref="E38:F38"/>
    <mergeCell ref="A29:G29"/>
    <mergeCell ref="A30:H30"/>
    <mergeCell ref="B32:C32"/>
    <mergeCell ref="E32:F32"/>
    <mergeCell ref="B33:C33"/>
    <mergeCell ref="E33:F33"/>
    <mergeCell ref="A17:E17"/>
    <mergeCell ref="F17:H17"/>
    <mergeCell ref="A25:E25"/>
    <mergeCell ref="F25:H25"/>
    <mergeCell ref="A28:E28"/>
    <mergeCell ref="F28:H28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27" sqref="A27:C31"/>
    </sheetView>
  </sheetViews>
  <sheetFormatPr defaultColWidth="9.140625" defaultRowHeight="12.75"/>
  <cols>
    <col min="2" max="2" width="2.28125" style="0" customWidth="1"/>
    <col min="3" max="3" width="65.421875" style="0" customWidth="1"/>
    <col min="4" max="4" width="12.28125" style="0" customWidth="1"/>
    <col min="5" max="5" width="15.140625" style="0" customWidth="1"/>
    <col min="6" max="6" width="14.28125" style="0" customWidth="1"/>
    <col min="7" max="7" width="12.57421875" style="0" customWidth="1"/>
    <col min="8" max="8" width="13.28125" style="0" bestFit="1" customWidth="1"/>
    <col min="9" max="11" width="13.28125" style="0" customWidth="1"/>
    <col min="12" max="12" width="11.7109375" style="0" customWidth="1"/>
    <col min="14" max="15" width="13.140625" style="0" bestFit="1" customWidth="1"/>
  </cols>
  <sheetData>
    <row r="1" spans="1:12" ht="13.5" thickBot="1">
      <c r="A1" s="326"/>
      <c r="B1" s="5"/>
      <c r="C1" s="5"/>
      <c r="D1" s="6"/>
      <c r="E1" s="6"/>
      <c r="F1" s="6"/>
      <c r="G1" s="6"/>
      <c r="H1" s="327"/>
      <c r="I1" s="125"/>
      <c r="J1" s="125"/>
      <c r="K1" s="125"/>
      <c r="L1" s="125"/>
    </row>
    <row r="2" spans="1:12" ht="13.5" thickBot="1">
      <c r="A2" s="328"/>
      <c r="B2" s="67"/>
      <c r="C2" s="67"/>
      <c r="D2" s="21"/>
      <c r="E2" s="21"/>
      <c r="F2" s="21"/>
      <c r="G2" s="21"/>
      <c r="H2" s="329"/>
      <c r="I2" s="125"/>
      <c r="J2" s="125"/>
      <c r="K2" s="125"/>
      <c r="L2" s="125"/>
    </row>
    <row r="3" spans="1:12" ht="16.5" thickBot="1">
      <c r="A3" s="330" t="s">
        <v>22</v>
      </c>
      <c r="B3" s="267"/>
      <c r="C3" s="267"/>
      <c r="D3" s="267"/>
      <c r="E3" s="267"/>
      <c r="F3" s="267"/>
      <c r="G3" s="267"/>
      <c r="H3" s="331"/>
      <c r="I3" s="141"/>
      <c r="J3" s="141"/>
      <c r="K3" s="141"/>
      <c r="L3" s="141"/>
    </row>
    <row r="4" spans="1:12" ht="13.5" thickBot="1">
      <c r="A4" s="332"/>
      <c r="B4" s="22"/>
      <c r="C4" s="22"/>
      <c r="D4" s="21"/>
      <c r="E4" s="21"/>
      <c r="F4" s="22"/>
      <c r="G4" s="22"/>
      <c r="H4" s="333"/>
      <c r="I4" s="126"/>
      <c r="J4" s="126"/>
      <c r="K4" s="126"/>
      <c r="L4" s="126"/>
    </row>
    <row r="5" spans="1:12" ht="13.5" thickBot="1">
      <c r="A5" s="275" t="s">
        <v>23</v>
      </c>
      <c r="B5" s="268"/>
      <c r="C5" s="268"/>
      <c r="D5" s="268"/>
      <c r="E5" s="268"/>
      <c r="F5" s="268"/>
      <c r="G5" s="268"/>
      <c r="H5" s="334"/>
      <c r="I5" s="142"/>
      <c r="J5" s="142"/>
      <c r="K5" s="142"/>
      <c r="L5" s="142"/>
    </row>
    <row r="6" spans="1:12" ht="12.75">
      <c r="A6" s="259" t="s">
        <v>20</v>
      </c>
      <c r="B6" s="260"/>
      <c r="C6" s="261"/>
      <c r="D6" s="262" t="s">
        <v>24</v>
      </c>
      <c r="E6" s="260"/>
      <c r="F6" s="243">
        <f>'-'!H29</f>
        <v>113353.04</v>
      </c>
      <c r="G6" s="243"/>
      <c r="H6" s="335"/>
      <c r="I6" s="143"/>
      <c r="J6" s="143"/>
      <c r="K6" s="143"/>
      <c r="L6" s="142"/>
    </row>
    <row r="7" spans="1:12" ht="26.25" customHeight="1" thickBot="1">
      <c r="A7" s="254" t="str">
        <f>'-'!A6:E6</f>
        <v>OBRA: PINTURA EXTERNA DO GINÁSIO POLIESPORTIVO VENERANDO BRAZ DA SILVEIRA </v>
      </c>
      <c r="B7" s="255"/>
      <c r="C7" s="256"/>
      <c r="D7" s="244" t="s">
        <v>72</v>
      </c>
      <c r="E7" s="252"/>
      <c r="F7" s="242" t="s">
        <v>126</v>
      </c>
      <c r="G7" s="242"/>
      <c r="H7" s="336"/>
      <c r="I7" s="142"/>
      <c r="J7" s="142"/>
      <c r="K7" s="142"/>
      <c r="L7" s="142"/>
    </row>
    <row r="8" spans="1:12" ht="26.25" thickBot="1">
      <c r="A8" s="275" t="s">
        <v>0</v>
      </c>
      <c r="B8" s="276"/>
      <c r="C8" s="9" t="s">
        <v>25</v>
      </c>
      <c r="D8" s="100" t="s">
        <v>26</v>
      </c>
      <c r="E8" s="100" t="s">
        <v>27</v>
      </c>
      <c r="F8" s="10" t="s">
        <v>28</v>
      </c>
      <c r="G8" s="10" t="s">
        <v>29</v>
      </c>
      <c r="H8" s="337" t="s">
        <v>125</v>
      </c>
      <c r="I8" s="144"/>
      <c r="J8" s="144"/>
      <c r="K8" s="144"/>
      <c r="L8" s="144"/>
    </row>
    <row r="9" spans="1:12" ht="12.75">
      <c r="A9" s="277">
        <v>1</v>
      </c>
      <c r="B9" s="278"/>
      <c r="C9" s="279" t="str">
        <f>'-'!C12</f>
        <v>SERVIÇOS PRELIMINARES</v>
      </c>
      <c r="D9" s="11" t="s">
        <v>30</v>
      </c>
      <c r="E9" s="12">
        <f>SUM(E10/N10)</f>
        <v>0.015264434019590477</v>
      </c>
      <c r="F9" s="27">
        <v>1</v>
      </c>
      <c r="G9" s="12">
        <v>0</v>
      </c>
      <c r="H9" s="338">
        <v>0</v>
      </c>
      <c r="I9" s="145"/>
      <c r="J9" s="145"/>
      <c r="K9" s="145"/>
      <c r="L9" s="145"/>
    </row>
    <row r="10" spans="1:14" ht="12.75">
      <c r="A10" s="258"/>
      <c r="B10" s="270"/>
      <c r="C10" s="272"/>
      <c r="D10" s="13" t="s">
        <v>31</v>
      </c>
      <c r="E10" s="14">
        <f>'-'!I14</f>
        <v>1730.27</v>
      </c>
      <c r="F10" s="28">
        <f>F9*$E$10</f>
        <v>1730.27</v>
      </c>
      <c r="G10" s="14">
        <f>G9*$E$10</f>
        <v>0</v>
      </c>
      <c r="H10" s="339">
        <f>H9*$E$10</f>
        <v>0</v>
      </c>
      <c r="I10" s="146"/>
      <c r="J10" s="146"/>
      <c r="K10" s="146"/>
      <c r="L10" s="146"/>
      <c r="N10" s="25">
        <f>E18</f>
        <v>113353.04</v>
      </c>
    </row>
    <row r="11" spans="1:12" ht="12.75">
      <c r="A11" s="257">
        <v>2</v>
      </c>
      <c r="B11" s="269"/>
      <c r="C11" s="271" t="str">
        <f>'-'!C15</f>
        <v>ANDAIME </v>
      </c>
      <c r="D11" s="13" t="s">
        <v>30</v>
      </c>
      <c r="E11" s="12">
        <f>SUM(E12/N10)</f>
        <v>0.14478861793208192</v>
      </c>
      <c r="F11" s="27">
        <v>0.3333</v>
      </c>
      <c r="G11" s="12">
        <v>0.3333</v>
      </c>
      <c r="H11" s="338">
        <v>0.3334</v>
      </c>
      <c r="I11" s="145"/>
      <c r="J11" s="145"/>
      <c r="K11" s="145"/>
      <c r="L11" s="145"/>
    </row>
    <row r="12" spans="1:12" ht="12.75">
      <c r="A12" s="258"/>
      <c r="B12" s="270"/>
      <c r="C12" s="272"/>
      <c r="D12" s="13" t="s">
        <v>31</v>
      </c>
      <c r="E12" s="14">
        <f>'-'!I17</f>
        <v>16412.23</v>
      </c>
      <c r="F12" s="28">
        <f>F11*$E$12</f>
        <v>5470.196258999999</v>
      </c>
      <c r="G12" s="14">
        <f>G11*$E$12</f>
        <v>5470.196258999999</v>
      </c>
      <c r="H12" s="339">
        <f>H11*$E$12</f>
        <v>5471.837481999999</v>
      </c>
      <c r="I12" s="146"/>
      <c r="J12" s="146"/>
      <c r="K12" s="146"/>
      <c r="L12" s="146"/>
    </row>
    <row r="13" spans="1:12" ht="12.75">
      <c r="A13" s="273">
        <v>3</v>
      </c>
      <c r="B13" s="274"/>
      <c r="C13" s="253" t="str">
        <f>'-'!C18</f>
        <v>PINTURA</v>
      </c>
      <c r="D13" s="13" t="s">
        <v>30</v>
      </c>
      <c r="E13" s="12">
        <f>SUM(E14/N10)</f>
        <v>0.8287140777168394</v>
      </c>
      <c r="F13" s="27">
        <v>0.3333</v>
      </c>
      <c r="G13" s="12">
        <v>0.3333</v>
      </c>
      <c r="H13" s="338">
        <v>0.3334</v>
      </c>
      <c r="I13" s="145"/>
      <c r="J13" s="145"/>
      <c r="K13" s="145"/>
      <c r="L13" s="145"/>
    </row>
    <row r="14" spans="1:12" ht="12" customHeight="1">
      <c r="A14" s="273"/>
      <c r="B14" s="274"/>
      <c r="C14" s="253"/>
      <c r="D14" s="92" t="s">
        <v>31</v>
      </c>
      <c r="E14" s="93">
        <f>'-'!I25</f>
        <v>93937.26</v>
      </c>
      <c r="F14" s="94">
        <f>F13*$E$14</f>
        <v>31309.288757999995</v>
      </c>
      <c r="G14" s="93">
        <f>G13*$E$14</f>
        <v>31309.288757999995</v>
      </c>
      <c r="H14" s="340">
        <f>H13*$E$14</f>
        <v>31318.682483999997</v>
      </c>
      <c r="I14" s="146"/>
      <c r="J14" s="146"/>
      <c r="K14" s="146"/>
      <c r="L14" s="146"/>
    </row>
    <row r="15" spans="1:12" ht="12" customHeight="1">
      <c r="A15" s="257">
        <v>4</v>
      </c>
      <c r="B15" s="263"/>
      <c r="C15" s="265" t="s">
        <v>154</v>
      </c>
      <c r="D15" s="188" t="s">
        <v>30</v>
      </c>
      <c r="E15" s="189">
        <f>E16/N10</f>
        <v>0.011232870331488242</v>
      </c>
      <c r="F15" s="190">
        <v>1</v>
      </c>
      <c r="G15" s="191">
        <v>0</v>
      </c>
      <c r="H15" s="341">
        <v>0</v>
      </c>
      <c r="I15" s="146"/>
      <c r="J15" s="146"/>
      <c r="K15" s="146"/>
      <c r="L15" s="146"/>
    </row>
    <row r="16" spans="1:12" ht="12" customHeight="1">
      <c r="A16" s="342"/>
      <c r="B16" s="264"/>
      <c r="C16" s="266"/>
      <c r="D16" s="92" t="s">
        <v>31</v>
      </c>
      <c r="E16" s="185">
        <v>1273.28</v>
      </c>
      <c r="F16" s="186">
        <f>F15*E16</f>
        <v>1273.28</v>
      </c>
      <c r="G16" s="185">
        <v>0</v>
      </c>
      <c r="H16" s="343">
        <v>0</v>
      </c>
      <c r="I16" s="146"/>
      <c r="J16" s="146"/>
      <c r="K16" s="146"/>
      <c r="L16" s="146"/>
    </row>
    <row r="17" spans="1:15" ht="12.75" customHeight="1">
      <c r="A17" s="344" t="s">
        <v>127</v>
      </c>
      <c r="B17" s="244"/>
      <c r="C17" s="244"/>
      <c r="D17" s="132" t="s">
        <v>30</v>
      </c>
      <c r="E17" s="15">
        <f>SUM(E13,E11,E9,E15)</f>
        <v>0.9999999999999999</v>
      </c>
      <c r="F17" s="15">
        <f>(F18/E18)</f>
        <v>0.3509657528108641</v>
      </c>
      <c r="G17" s="15">
        <f>(G18/E18)</f>
        <v>0.3244684484597854</v>
      </c>
      <c r="H17" s="345">
        <f>H18/E18</f>
        <v>0.3245657987293503</v>
      </c>
      <c r="I17" s="147"/>
      <c r="J17" s="147"/>
      <c r="K17" s="147"/>
      <c r="L17" s="147"/>
      <c r="N17" s="26">
        <f>SUM(F17:L17)</f>
        <v>0.9999999999999999</v>
      </c>
      <c r="O17" s="26">
        <f>SUM(F17:H17)</f>
        <v>0.9999999999999999</v>
      </c>
    </row>
    <row r="18" spans="1:15" ht="12.75">
      <c r="A18" s="344"/>
      <c r="B18" s="244"/>
      <c r="C18" s="244"/>
      <c r="D18" s="133" t="s">
        <v>31</v>
      </c>
      <c r="E18" s="131">
        <f>SUM(E14,E12,E10,E16)</f>
        <v>113353.04</v>
      </c>
      <c r="F18" s="131">
        <f>SUM(F14,F12,F10,F16)</f>
        <v>39783.03501699999</v>
      </c>
      <c r="G18" s="131">
        <f>SUM(G14,G12,G10)</f>
        <v>36779.48501699999</v>
      </c>
      <c r="H18" s="346">
        <f>H10+H12+H14</f>
        <v>36790.51996599999</v>
      </c>
      <c r="I18" s="140"/>
      <c r="J18" s="140"/>
      <c r="K18" s="140"/>
      <c r="L18" s="140"/>
      <c r="N18" s="25">
        <f>SUM(F18:L18)</f>
        <v>113353.03999999998</v>
      </c>
      <c r="O18" s="25">
        <f>SUM(F18:H18)</f>
        <v>113353.03999999998</v>
      </c>
    </row>
    <row r="19" spans="1:15" ht="12.75">
      <c r="A19" s="344"/>
      <c r="B19" s="244"/>
      <c r="C19" s="244"/>
      <c r="D19" s="134" t="s">
        <v>128</v>
      </c>
      <c r="E19" s="135"/>
      <c r="F19" s="136">
        <f>F17</f>
        <v>0.3509657528108641</v>
      </c>
      <c r="G19" s="136">
        <f>F19+G17</f>
        <v>0.6754342012706496</v>
      </c>
      <c r="H19" s="347">
        <f>G19+H17</f>
        <v>0.9999999999999999</v>
      </c>
      <c r="I19" s="140"/>
      <c r="J19" s="140"/>
      <c r="K19" s="140"/>
      <c r="L19" s="140"/>
      <c r="N19" s="25"/>
      <c r="O19" s="25"/>
    </row>
    <row r="20" spans="1:15" ht="13.5" thickBot="1">
      <c r="A20" s="348"/>
      <c r="B20" s="245"/>
      <c r="C20" s="245"/>
      <c r="D20" s="137" t="s">
        <v>129</v>
      </c>
      <c r="E20" s="138"/>
      <c r="F20" s="138">
        <f>F18</f>
        <v>39783.03501699999</v>
      </c>
      <c r="G20" s="138">
        <f>F20+G18</f>
        <v>76562.52003399999</v>
      </c>
      <c r="H20" s="349">
        <f>G20+H18</f>
        <v>113353.03999999998</v>
      </c>
      <c r="I20" s="140"/>
      <c r="J20" s="140"/>
      <c r="K20" s="140"/>
      <c r="L20" s="140"/>
      <c r="N20" s="25"/>
      <c r="O20" s="25"/>
    </row>
    <row r="21" spans="1:15" ht="12.75">
      <c r="A21" s="350" t="s">
        <v>130</v>
      </c>
      <c r="B21" s="246"/>
      <c r="C21" s="246"/>
      <c r="D21" s="132" t="s">
        <v>30</v>
      </c>
      <c r="E21" s="139"/>
      <c r="F21" s="139"/>
      <c r="G21" s="139"/>
      <c r="H21" s="351"/>
      <c r="I21" s="140"/>
      <c r="J21" s="140"/>
      <c r="K21" s="140"/>
      <c r="L21" s="140"/>
      <c r="N21" s="25"/>
      <c r="O21" s="25"/>
    </row>
    <row r="22" spans="1:15" ht="12.75">
      <c r="A22" s="344"/>
      <c r="B22" s="244"/>
      <c r="C22" s="244"/>
      <c r="D22" s="133" t="s">
        <v>31</v>
      </c>
      <c r="E22" s="135"/>
      <c r="F22" s="135"/>
      <c r="G22" s="135"/>
      <c r="H22" s="352"/>
      <c r="I22" s="140"/>
      <c r="J22" s="140"/>
      <c r="K22" s="140"/>
      <c r="L22" s="140"/>
      <c r="N22" s="25"/>
      <c r="O22" s="25"/>
    </row>
    <row r="23" spans="1:15" ht="12.75">
      <c r="A23" s="344"/>
      <c r="B23" s="244"/>
      <c r="C23" s="244"/>
      <c r="D23" s="134" t="s">
        <v>128</v>
      </c>
      <c r="E23" s="135"/>
      <c r="F23" s="135"/>
      <c r="G23" s="135"/>
      <c r="H23" s="352"/>
      <c r="I23" s="140"/>
      <c r="J23" s="140"/>
      <c r="K23" s="140"/>
      <c r="L23" s="140"/>
      <c r="N23" s="25"/>
      <c r="O23" s="25"/>
    </row>
    <row r="24" spans="1:15" ht="13.5" thickBot="1">
      <c r="A24" s="348"/>
      <c r="B24" s="245"/>
      <c r="C24" s="245"/>
      <c r="D24" s="137" t="s">
        <v>129</v>
      </c>
      <c r="E24" s="138"/>
      <c r="F24" s="138"/>
      <c r="G24" s="138"/>
      <c r="H24" s="349"/>
      <c r="I24" s="140"/>
      <c r="J24" s="140"/>
      <c r="K24" s="140"/>
      <c r="L24" s="140"/>
      <c r="N24" s="25"/>
      <c r="O24" s="25"/>
    </row>
    <row r="25" spans="1:12" ht="13.5" thickBot="1">
      <c r="A25" s="353"/>
      <c r="B25" s="16"/>
      <c r="C25" s="16"/>
      <c r="D25" s="17"/>
      <c r="E25" s="17"/>
      <c r="F25" s="16"/>
      <c r="G25" s="153"/>
      <c r="H25" s="354"/>
      <c r="I25" s="16"/>
      <c r="J25" s="16"/>
      <c r="K25" s="16"/>
      <c r="L25" s="16"/>
    </row>
    <row r="26" spans="1:12" ht="12.75">
      <c r="A26" s="355"/>
      <c r="B26" s="18"/>
      <c r="C26" s="18" t="s">
        <v>173</v>
      </c>
      <c r="D26" s="247" t="s">
        <v>32</v>
      </c>
      <c r="E26" s="248"/>
      <c r="F26" s="121"/>
      <c r="G26" s="122"/>
      <c r="H26" s="356"/>
      <c r="I26" s="22"/>
      <c r="J26" s="22"/>
      <c r="K26" s="22"/>
      <c r="L26" s="22"/>
    </row>
    <row r="27" spans="1:12" ht="27" customHeight="1">
      <c r="A27" s="357"/>
      <c r="B27" s="19"/>
      <c r="C27" s="19"/>
      <c r="D27" s="249"/>
      <c r="E27" s="250"/>
      <c r="F27" s="123"/>
      <c r="G27" s="123"/>
      <c r="H27" s="358"/>
      <c r="I27" s="20"/>
      <c r="J27" s="20"/>
      <c r="K27" s="20"/>
      <c r="L27" s="20"/>
    </row>
    <row r="28" spans="1:12" ht="14.25" customHeight="1">
      <c r="A28" s="359" t="s">
        <v>71</v>
      </c>
      <c r="B28" s="234"/>
      <c r="C28" s="234"/>
      <c r="D28" s="148"/>
      <c r="E28" s="124"/>
      <c r="F28" s="124"/>
      <c r="G28" s="151"/>
      <c r="H28" s="333"/>
      <c r="I28" s="22"/>
      <c r="J28" s="22"/>
      <c r="K28" s="22"/>
      <c r="L28" s="22"/>
    </row>
    <row r="29" spans="1:12" ht="14.25">
      <c r="A29" s="360"/>
      <c r="B29" s="23"/>
      <c r="C29" s="23"/>
      <c r="D29" s="148"/>
      <c r="E29" s="125"/>
      <c r="F29" s="126"/>
      <c r="G29" s="126"/>
      <c r="H29" s="361"/>
      <c r="I29" s="152"/>
      <c r="J29" s="67"/>
      <c r="K29" s="22"/>
      <c r="L29" s="22"/>
    </row>
    <row r="30" spans="1:12" ht="14.25">
      <c r="A30" s="362"/>
      <c r="B30" s="71"/>
      <c r="C30" s="71"/>
      <c r="D30" s="149"/>
      <c r="E30" s="127"/>
      <c r="F30" s="128"/>
      <c r="G30" s="126"/>
      <c r="H30" s="361"/>
      <c r="I30" s="152"/>
      <c r="J30" s="67"/>
      <c r="K30" s="22"/>
      <c r="L30" s="22"/>
    </row>
    <row r="31" spans="1:12" ht="13.5" thickBot="1">
      <c r="A31" s="363" t="s">
        <v>70</v>
      </c>
      <c r="B31" s="251"/>
      <c r="C31" s="251"/>
      <c r="D31" s="150"/>
      <c r="E31" s="129"/>
      <c r="F31" s="130"/>
      <c r="G31" s="130"/>
      <c r="H31" s="364"/>
      <c r="I31" s="126"/>
      <c r="J31" s="22"/>
      <c r="K31" s="22"/>
      <c r="L31" s="22"/>
    </row>
    <row r="32" spans="1:12" ht="12.75">
      <c r="A32" s="8"/>
      <c r="B32" s="8"/>
      <c r="C32" s="8"/>
      <c r="D32" s="7"/>
      <c r="E32" s="7"/>
      <c r="F32" s="8"/>
      <c r="G32" s="8"/>
      <c r="H32" s="8"/>
      <c r="I32" s="8"/>
      <c r="J32" s="8"/>
      <c r="K32" s="8"/>
      <c r="L32" s="8"/>
    </row>
    <row r="34" ht="12.75">
      <c r="C34" s="187"/>
    </row>
    <row r="35" ht="12.75">
      <c r="O35" s="68"/>
    </row>
    <row r="38" ht="12.75">
      <c r="D38" t="s">
        <v>170</v>
      </c>
    </row>
    <row r="39" ht="12.75">
      <c r="D39" s="102" t="s">
        <v>171</v>
      </c>
    </row>
  </sheetData>
  <sheetProtection/>
  <mergeCells count="26">
    <mergeCell ref="A3:G3"/>
    <mergeCell ref="A5:G5"/>
    <mergeCell ref="B11:B12"/>
    <mergeCell ref="C11:C12"/>
    <mergeCell ref="A13:A14"/>
    <mergeCell ref="B13:B14"/>
    <mergeCell ref="A8:B8"/>
    <mergeCell ref="A9:A10"/>
    <mergeCell ref="B9:B10"/>
    <mergeCell ref="C9:C10"/>
    <mergeCell ref="A31:C31"/>
    <mergeCell ref="D7:E7"/>
    <mergeCell ref="C13:C14"/>
    <mergeCell ref="A7:C7"/>
    <mergeCell ref="A11:A12"/>
    <mergeCell ref="A6:C6"/>
    <mergeCell ref="D6:E6"/>
    <mergeCell ref="A15:A16"/>
    <mergeCell ref="B15:B16"/>
    <mergeCell ref="C15:C16"/>
    <mergeCell ref="F7:H7"/>
    <mergeCell ref="F6:H6"/>
    <mergeCell ref="A17:C20"/>
    <mergeCell ref="A21:C24"/>
    <mergeCell ref="D26:E27"/>
    <mergeCell ref="A28:C28"/>
  </mergeCells>
  <printOptions/>
  <pageMargins left="1.1023622047244095" right="0.5118110236220472" top="0.7874015748031497" bottom="0.7874015748031497" header="0.31496062992125984" footer="0.31496062992125984"/>
  <pageSetup fitToHeight="1" fitToWidth="1"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9.28125" style="0" customWidth="1"/>
    <col min="2" max="2" width="54.421875" style="0" customWidth="1"/>
    <col min="3" max="3" width="9.57421875" style="0" customWidth="1"/>
    <col min="4" max="4" width="11.57421875" style="0" customWidth="1"/>
    <col min="5" max="5" width="14.7109375" style="0" customWidth="1"/>
    <col min="6" max="6" width="16.57421875" style="0" customWidth="1"/>
    <col min="7" max="7" width="47.8515625" style="0" customWidth="1"/>
    <col min="8" max="9" width="9.57421875" style="0" bestFit="1" customWidth="1"/>
    <col min="10" max="10" width="13.28125" style="0" bestFit="1" customWidth="1"/>
    <col min="11" max="11" width="9.57421875" style="0" bestFit="1" customWidth="1"/>
  </cols>
  <sheetData>
    <row r="1" spans="1:6" ht="15.75">
      <c r="A1" s="280" t="s">
        <v>174</v>
      </c>
      <c r="B1" s="280"/>
      <c r="C1" s="280"/>
      <c r="D1" s="280"/>
      <c r="E1" s="280"/>
      <c r="F1" s="280"/>
    </row>
    <row r="2" spans="1:6" ht="15.75">
      <c r="A2" s="193"/>
      <c r="B2" s="193"/>
      <c r="C2" s="193"/>
      <c r="D2" s="193"/>
      <c r="E2" s="193"/>
      <c r="F2" s="193"/>
    </row>
    <row r="3" spans="1:4" ht="12.75">
      <c r="A3" s="286" t="s">
        <v>109</v>
      </c>
      <c r="B3" s="286"/>
      <c r="C3" s="286"/>
      <c r="D3" s="286"/>
    </row>
    <row r="4" spans="1:4" ht="25.5">
      <c r="A4" s="112" t="s">
        <v>113</v>
      </c>
      <c r="B4" s="113" t="s">
        <v>114</v>
      </c>
      <c r="C4" s="112" t="s">
        <v>3</v>
      </c>
      <c r="D4" s="114" t="s">
        <v>115</v>
      </c>
    </row>
    <row r="5" spans="1:4" ht="37.5" customHeight="1">
      <c r="A5" s="118" t="s">
        <v>112</v>
      </c>
      <c r="B5" s="107" t="s">
        <v>111</v>
      </c>
      <c r="C5" s="109" t="s">
        <v>45</v>
      </c>
      <c r="D5" s="110">
        <v>19.99</v>
      </c>
    </row>
    <row r="6" spans="1:4" ht="38.25">
      <c r="A6" s="111" t="s">
        <v>116</v>
      </c>
      <c r="B6" s="108" t="s">
        <v>117</v>
      </c>
      <c r="C6" s="109" t="s">
        <v>43</v>
      </c>
      <c r="D6" s="110">
        <v>12.43</v>
      </c>
    </row>
    <row r="7" ht="15" customHeight="1"/>
    <row r="8" ht="15" customHeight="1"/>
    <row r="9" spans="1:6" ht="12.75">
      <c r="A9" s="287" t="s">
        <v>124</v>
      </c>
      <c r="B9" s="287"/>
      <c r="C9" s="287"/>
      <c r="D9" s="287"/>
      <c r="E9" s="287"/>
      <c r="F9" s="287"/>
    </row>
    <row r="10" spans="1:6" ht="25.5">
      <c r="A10" s="112" t="s">
        <v>120</v>
      </c>
      <c r="B10" s="113" t="s">
        <v>114</v>
      </c>
      <c r="C10" s="112" t="s">
        <v>3</v>
      </c>
      <c r="D10" s="114" t="s">
        <v>115</v>
      </c>
      <c r="E10" s="112" t="s">
        <v>118</v>
      </c>
      <c r="F10" s="114" t="s">
        <v>119</v>
      </c>
    </row>
    <row r="11" spans="1:6" ht="26.25" customHeight="1">
      <c r="A11" s="118" t="s">
        <v>110</v>
      </c>
      <c r="B11" s="115" t="s">
        <v>111</v>
      </c>
      <c r="C11" s="116" t="s">
        <v>45</v>
      </c>
      <c r="D11" s="117">
        <v>19.99</v>
      </c>
      <c r="E11" s="109">
        <v>0.01</v>
      </c>
      <c r="F11" s="110">
        <f>D11*E11</f>
        <v>0.1999</v>
      </c>
    </row>
    <row r="12" spans="1:6" ht="38.25">
      <c r="A12" s="118" t="s">
        <v>121</v>
      </c>
      <c r="B12" s="108" t="s">
        <v>117</v>
      </c>
      <c r="C12" s="109" t="s">
        <v>43</v>
      </c>
      <c r="D12" s="110">
        <v>12.43</v>
      </c>
      <c r="E12" s="119">
        <v>1</v>
      </c>
      <c r="F12" s="110">
        <f>D12*E12</f>
        <v>12.43</v>
      </c>
    </row>
    <row r="13" spans="1:6" ht="12.75">
      <c r="A13" s="288" t="s">
        <v>123</v>
      </c>
      <c r="B13" s="289"/>
      <c r="C13" s="289"/>
      <c r="D13" s="289"/>
      <c r="E13" s="290"/>
      <c r="F13" s="120">
        <f>F11+F12</f>
        <v>12.6299</v>
      </c>
    </row>
    <row r="14" spans="1:6" ht="12.75">
      <c r="A14" s="365"/>
      <c r="B14" s="365"/>
      <c r="C14" s="365"/>
      <c r="D14" s="365"/>
      <c r="E14" s="365"/>
      <c r="F14" s="365"/>
    </row>
    <row r="15" spans="1:6" ht="21" customHeight="1">
      <c r="A15" s="366"/>
      <c r="B15" s="19"/>
      <c r="C15" s="367"/>
      <c r="D15" s="365"/>
      <c r="E15" s="365"/>
      <c r="F15" s="365"/>
    </row>
    <row r="16" spans="1:6" ht="12.75">
      <c r="A16" s="234" t="s">
        <v>71</v>
      </c>
      <c r="B16" s="234"/>
      <c r="C16" s="234"/>
      <c r="D16" s="365"/>
      <c r="E16" s="365"/>
      <c r="F16" s="365"/>
    </row>
    <row r="17" spans="1:6" ht="12.75">
      <c r="A17" s="23"/>
      <c r="B17" s="23"/>
      <c r="C17" s="23"/>
      <c r="D17" s="365"/>
      <c r="E17" s="365"/>
      <c r="F17" s="365"/>
    </row>
    <row r="18" spans="1:6" ht="12.75">
      <c r="A18" s="368"/>
      <c r="B18" s="71"/>
      <c r="C18" s="369"/>
      <c r="D18" s="365"/>
      <c r="E18" s="365"/>
      <c r="F18" s="365"/>
    </row>
    <row r="19" spans="1:6" ht="12.75">
      <c r="A19" s="234" t="s">
        <v>70</v>
      </c>
      <c r="B19" s="234"/>
      <c r="C19" s="234"/>
      <c r="D19" s="365"/>
      <c r="E19" s="365"/>
      <c r="F19" s="365"/>
    </row>
    <row r="35" spans="1:7" ht="12.75">
      <c r="A35" s="283" t="s">
        <v>63</v>
      </c>
      <c r="B35" s="283"/>
      <c r="C35" s="283"/>
      <c r="D35" s="283"/>
      <c r="E35" s="283"/>
      <c r="F35" s="283"/>
      <c r="G35" s="283"/>
    </row>
    <row r="36" spans="1:7" ht="191.25">
      <c r="A36" s="72" t="s">
        <v>47</v>
      </c>
      <c r="B36" s="72" t="s">
        <v>48</v>
      </c>
      <c r="C36" s="73" t="s">
        <v>49</v>
      </c>
      <c r="D36" s="72" t="s">
        <v>46</v>
      </c>
      <c r="E36" s="74" t="s">
        <v>50</v>
      </c>
      <c r="F36" s="74" t="s">
        <v>51</v>
      </c>
      <c r="G36" s="74" t="s">
        <v>52</v>
      </c>
    </row>
    <row r="37" spans="1:7" ht="369.75">
      <c r="A37" s="72" t="s">
        <v>53</v>
      </c>
      <c r="B37" s="72" t="s">
        <v>54</v>
      </c>
      <c r="C37" s="73" t="s">
        <v>55</v>
      </c>
      <c r="D37" s="72" t="s">
        <v>56</v>
      </c>
      <c r="E37" s="74" t="s">
        <v>57</v>
      </c>
      <c r="F37" s="74" t="s">
        <v>50</v>
      </c>
      <c r="G37" s="74" t="s">
        <v>50</v>
      </c>
    </row>
    <row r="38" spans="1:7" ht="89.25">
      <c r="A38" s="72" t="s">
        <v>53</v>
      </c>
      <c r="B38" s="72" t="s">
        <v>58</v>
      </c>
      <c r="C38" s="73" t="s">
        <v>59</v>
      </c>
      <c r="D38" s="72" t="s">
        <v>45</v>
      </c>
      <c r="E38" s="74" t="s">
        <v>60</v>
      </c>
      <c r="F38" s="74" t="s">
        <v>50</v>
      </c>
      <c r="G38" s="74" t="s">
        <v>50</v>
      </c>
    </row>
    <row r="39" spans="1:7" ht="89.25">
      <c r="A39" s="72" t="s">
        <v>53</v>
      </c>
      <c r="B39" s="72" t="s">
        <v>61</v>
      </c>
      <c r="C39" s="73" t="s">
        <v>44</v>
      </c>
      <c r="D39" s="72" t="s">
        <v>45</v>
      </c>
      <c r="E39" s="74" t="s">
        <v>62</v>
      </c>
      <c r="F39" s="74" t="s">
        <v>50</v>
      </c>
      <c r="G39" s="74" t="s">
        <v>50</v>
      </c>
    </row>
    <row r="42" spans="1:8" ht="12.75">
      <c r="A42" s="283" t="s">
        <v>67</v>
      </c>
      <c r="B42" s="283"/>
      <c r="C42" s="283"/>
      <c r="D42" s="283"/>
      <c r="E42" s="283"/>
      <c r="F42" s="283"/>
      <c r="G42" s="283"/>
      <c r="H42" s="283"/>
    </row>
    <row r="43" spans="1:8" ht="76.5">
      <c r="A43" s="281" t="s">
        <v>65</v>
      </c>
      <c r="B43" s="282"/>
      <c r="C43" s="75" t="s">
        <v>69</v>
      </c>
      <c r="D43" s="76" t="s">
        <v>46</v>
      </c>
      <c r="E43" s="77" t="s">
        <v>50</v>
      </c>
      <c r="F43" s="77" t="s">
        <v>64</v>
      </c>
      <c r="G43" s="77" t="s">
        <v>52</v>
      </c>
      <c r="H43" s="99" t="s">
        <v>66</v>
      </c>
    </row>
    <row r="44" spans="1:8" ht="89.25">
      <c r="A44" s="72" t="s">
        <v>53</v>
      </c>
      <c r="B44" s="72" t="s">
        <v>58</v>
      </c>
      <c r="C44" s="73" t="s">
        <v>59</v>
      </c>
      <c r="D44" s="72" t="s">
        <v>45</v>
      </c>
      <c r="E44" s="74" t="s">
        <v>60</v>
      </c>
      <c r="F44" s="74">
        <v>23.1</v>
      </c>
      <c r="G44" s="78">
        <f>E44*F44</f>
        <v>0.9933</v>
      </c>
      <c r="H44" s="284">
        <f>SUM(G44:G45)</f>
        <v>1.14459</v>
      </c>
    </row>
    <row r="45" spans="1:8" ht="89.25">
      <c r="A45" s="72" t="s">
        <v>53</v>
      </c>
      <c r="B45" s="72" t="s">
        <v>61</v>
      </c>
      <c r="C45" s="73" t="s">
        <v>44</v>
      </c>
      <c r="D45" s="72" t="s">
        <v>45</v>
      </c>
      <c r="E45" s="74" t="s">
        <v>62</v>
      </c>
      <c r="F45" s="74">
        <v>16.81</v>
      </c>
      <c r="G45" s="78">
        <f>E45*F45</f>
        <v>0.15128999999999998</v>
      </c>
      <c r="H45" s="285"/>
    </row>
  </sheetData>
  <sheetProtection/>
  <mergeCells count="10">
    <mergeCell ref="A1:F1"/>
    <mergeCell ref="A43:B43"/>
    <mergeCell ref="A42:H42"/>
    <mergeCell ref="H44:H45"/>
    <mergeCell ref="A35:G35"/>
    <mergeCell ref="A3:D3"/>
    <mergeCell ref="A9:F9"/>
    <mergeCell ref="A13:E13"/>
    <mergeCell ref="A16:C16"/>
    <mergeCell ref="A19:C19"/>
  </mergeCells>
  <conditionalFormatting sqref="A36:G39 A44:G45 A43 C43:H43">
    <cfRule type="expression" priority="3" dxfId="1" stopIfTrue="1">
      <formula>AND($A36&lt;&gt;"COMPOSICAO",$A36&lt;&gt;"INSUMO",$A36&lt;&gt;"")</formula>
    </cfRule>
    <cfRule type="expression" priority="4" dxfId="0" stopIfTrue="1">
      <formula>AND(OR($A36="COMPOSICAO",$A36="INSUMO",$A36&lt;&gt;""),$A36&lt;&gt;"")</formula>
    </cfRule>
  </conditionalFormatting>
  <printOptions/>
  <pageMargins left="0.511811024" right="0.511811024" top="0.787401575" bottom="0.787401575" header="0.31496062" footer="0.3149606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9.140625" style="0" bestFit="1" customWidth="1"/>
    <col min="3" max="3" width="10.28125" style="0" bestFit="1" customWidth="1"/>
    <col min="6" max="6" width="26.8515625" style="0" customWidth="1"/>
    <col min="7" max="7" width="11.8515625" style="0" customWidth="1"/>
    <col min="10" max="10" width="9.57421875" style="0" bestFit="1" customWidth="1"/>
  </cols>
  <sheetData>
    <row r="1" spans="1:8" ht="12.75">
      <c r="A1" s="292" t="s">
        <v>76</v>
      </c>
      <c r="B1" s="292"/>
      <c r="C1" s="292"/>
      <c r="D1" s="292"/>
      <c r="E1" s="292"/>
      <c r="F1" s="292"/>
      <c r="G1" s="292"/>
      <c r="H1" s="292"/>
    </row>
    <row r="2" spans="1:8" ht="12.75">
      <c r="A2" s="291" t="s">
        <v>81</v>
      </c>
      <c r="B2" s="291"/>
      <c r="C2" s="291"/>
      <c r="F2" s="293" t="s">
        <v>84</v>
      </c>
      <c r="G2" s="293"/>
      <c r="H2" s="293"/>
    </row>
    <row r="3" spans="1:8" ht="29.25" customHeight="1">
      <c r="A3" s="156"/>
      <c r="B3" s="107" t="s">
        <v>80</v>
      </c>
      <c r="C3" s="108" t="s">
        <v>82</v>
      </c>
      <c r="F3" s="156"/>
      <c r="G3" s="161" t="s">
        <v>85</v>
      </c>
      <c r="H3" s="118" t="s">
        <v>148</v>
      </c>
    </row>
    <row r="4" spans="1:13" ht="12.75">
      <c r="A4" s="156" t="s">
        <v>77</v>
      </c>
      <c r="B4" s="157">
        <f>(232.98+7.7+12.72+67.84)-C4</f>
        <v>295.4836</v>
      </c>
      <c r="C4" s="157">
        <f>2.76+2.76+2.76+3.45+4.05+4.11+1.06+1.06+0.3132+0.3132+0.295+0.295+0.985+0.985+(0.5*0.5)+(0.5*0.3)+(0.4*0.4)</f>
        <v>25.756399999999996</v>
      </c>
      <c r="F4" s="162" t="s">
        <v>86</v>
      </c>
      <c r="G4" s="157">
        <f>C4+C6</f>
        <v>31.556399999999996</v>
      </c>
      <c r="H4" s="157">
        <f>0.5*G4</f>
        <v>15.778199999999998</v>
      </c>
      <c r="L4" s="101"/>
      <c r="M4" s="101"/>
    </row>
    <row r="5" spans="1:8" ht="12.75">
      <c r="A5" s="156" t="s">
        <v>78</v>
      </c>
      <c r="B5" s="157">
        <f>0.5*31.8*2</f>
        <v>31.8</v>
      </c>
      <c r="C5" s="156"/>
      <c r="F5" s="162" t="s">
        <v>87</v>
      </c>
      <c r="G5" s="156">
        <f>C11</f>
        <v>18.450000000000003</v>
      </c>
      <c r="H5" s="157">
        <f>0.5*G5</f>
        <v>9.225000000000001</v>
      </c>
    </row>
    <row r="6" spans="1:8" ht="12.75">
      <c r="A6" s="156" t="s">
        <v>79</v>
      </c>
      <c r="B6" s="157">
        <f>((3*13.06*2)+(3*2.8)+(7.37*1.3))-C6</f>
        <v>90.541</v>
      </c>
      <c r="C6" s="156">
        <f>(2*2.1)+(2*2*0.4)</f>
        <v>5.800000000000001</v>
      </c>
      <c r="F6" s="163" t="s">
        <v>88</v>
      </c>
      <c r="G6" s="163">
        <f>2.76+3.45+3.45+3.45+3.45+3.45+3.45+3.45+2.76+2.4+0.98+0.67+1.6+0.68+0.34+0.34+6.63+6.03+0.34+5.77+0.34+3.25+3.25+6.51+0.34+0.34+6.03</f>
        <v>75.51000000000002</v>
      </c>
      <c r="H6" s="164">
        <f>(1.6+6.63+6.03+5.77+6.5+6.03)+0.5*(2.76+3.45+3.45+3.45+3.45+3.45+3.45+3.45+2.76+2.4+0.98+0.67+0.68+0.34+0.34+0.34+0.34+3.25+3.25+0.34+0.34)</f>
        <v>54.03000000000001</v>
      </c>
    </row>
    <row r="7" spans="1:8" ht="12.75">
      <c r="A7" s="158" t="s">
        <v>83</v>
      </c>
      <c r="B7" s="159">
        <f>SUM(B4:B6)</f>
        <v>417.82460000000003</v>
      </c>
      <c r="C7" s="160" t="s">
        <v>91</v>
      </c>
      <c r="F7" s="162" t="s">
        <v>89</v>
      </c>
      <c r="G7" s="156">
        <f>2.76+3.45+3.45+3.45+3.45+3.45+3.45+3.45+2.76+0.67+0.35+0.35+0.35+0.35+0.68+0.68+0.34+0.34+0.68+0.68+0.68+0.68+0.68+0.68+7.07+7.02+2.81+2.81</f>
        <v>57.57000000000001</v>
      </c>
      <c r="H7" s="157">
        <f>(7.07+7.02)+0.5*(2.76+3.45+3.45+3.45+3.45+3.45+3.45+3.45+2.76+0.67+0.35+0.35+0.35+0.35+0.68+0.68+0.34+0.34+0.68+0.68+0.68+0.68+0.68+0.68+2.81+2.81)</f>
        <v>35.830000000000005</v>
      </c>
    </row>
    <row r="8" spans="1:9" ht="12.75">
      <c r="A8" s="156"/>
      <c r="B8" s="156"/>
      <c r="C8" s="156"/>
      <c r="F8" s="162" t="s">
        <v>151</v>
      </c>
      <c r="G8" s="157">
        <f>5.2*2.13</f>
        <v>11.076</v>
      </c>
      <c r="H8" s="157">
        <f>G8</f>
        <v>11.076</v>
      </c>
      <c r="I8" s="103"/>
    </row>
    <row r="9" spans="1:8" ht="12.75">
      <c r="A9" s="291" t="s">
        <v>90</v>
      </c>
      <c r="B9" s="291"/>
      <c r="C9" s="291"/>
      <c r="F9" s="294" t="s">
        <v>83</v>
      </c>
      <c r="G9" s="294"/>
      <c r="H9" s="159">
        <f>SUM(H4:H8)</f>
        <v>125.9392</v>
      </c>
    </row>
    <row r="10" spans="1:6" ht="25.5">
      <c r="A10" s="156"/>
      <c r="B10" s="161" t="s">
        <v>80</v>
      </c>
      <c r="C10" s="108" t="s">
        <v>82</v>
      </c>
      <c r="F10" s="102"/>
    </row>
    <row r="11" spans="1:12" ht="12.75">
      <c r="A11" s="162" t="s">
        <v>77</v>
      </c>
      <c r="B11" s="156">
        <f>(232.98+7.7+12.72+67.84)-C11</f>
        <v>302.79</v>
      </c>
      <c r="C11" s="156">
        <f>3.45+3.45+0.67+0.67+0.64+0.64+0.64+0.34+0.63+0.34+0.64+0.64+1.9+1.9+1.9</f>
        <v>18.450000000000003</v>
      </c>
      <c r="F11" s="291" t="s">
        <v>140</v>
      </c>
      <c r="G11" s="291"/>
      <c r="H11" s="165"/>
      <c r="L11" s="68"/>
    </row>
    <row r="12" spans="1:7" ht="12.75">
      <c r="A12" s="162" t="s">
        <v>94</v>
      </c>
      <c r="B12" s="157">
        <f>0.5*31.8</f>
        <v>15.9</v>
      </c>
      <c r="C12" s="156"/>
      <c r="F12" s="160" t="s">
        <v>141</v>
      </c>
      <c r="G12" s="155" t="s">
        <v>149</v>
      </c>
    </row>
    <row r="13" spans="1:7" ht="12.75">
      <c r="A13" s="158" t="s">
        <v>83</v>
      </c>
      <c r="B13" s="159">
        <f>B11+B12</f>
        <v>318.69</v>
      </c>
      <c r="C13" s="160" t="s">
        <v>91</v>
      </c>
      <c r="F13" s="156" t="s">
        <v>142</v>
      </c>
      <c r="G13" s="157">
        <f>(9.5*(0.9+0.32))+(9.5*(0.15+0.32))+(5.7+(0.76+0.32))</f>
        <v>22.835</v>
      </c>
    </row>
    <row r="14" spans="1:7" ht="12.75">
      <c r="A14" s="156"/>
      <c r="B14" s="156"/>
      <c r="C14" s="156"/>
      <c r="F14" s="156" t="s">
        <v>143</v>
      </c>
      <c r="G14" s="157">
        <f>2*3.89+(12.95*(0.32+0.32))+(12.95*(0.9+0.32))</f>
        <v>31.867</v>
      </c>
    </row>
    <row r="15" spans="1:7" ht="12.75">
      <c r="A15" s="291" t="s">
        <v>92</v>
      </c>
      <c r="B15" s="291"/>
      <c r="C15" s="291"/>
      <c r="F15" s="156" t="s">
        <v>144</v>
      </c>
      <c r="G15" s="157">
        <f>(2*3.83*(0.41+0.24))+(2.77*(0.41+0.24))</f>
        <v>6.779499999999999</v>
      </c>
    </row>
    <row r="16" spans="1:8" ht="25.5">
      <c r="A16" s="156"/>
      <c r="B16" s="161" t="s">
        <v>80</v>
      </c>
      <c r="C16" s="108" t="s">
        <v>82</v>
      </c>
      <c r="F16" s="156" t="s">
        <v>145</v>
      </c>
      <c r="G16" s="157">
        <f>(19.53*(0.7+0.3))+(6.5*(0.47+0.3))+(2.77*(0.47+0.3))+(5*(0.5+0.23))+(19.66*(0.32+0.23))</f>
        <v>41.1309</v>
      </c>
      <c r="H16">
        <f>29.2-3.83</f>
        <v>25.369999999999997</v>
      </c>
    </row>
    <row r="17" spans="1:8" ht="12.75">
      <c r="A17" s="162" t="s">
        <v>77</v>
      </c>
      <c r="B17" s="156">
        <f>(424.55+22.16)-C17</f>
        <v>371.20000000000005</v>
      </c>
      <c r="C17" s="156">
        <f>2.76+3.45+3.45+3.45+3.45+3.45+3.45+3.45+2.76+2.4+0.98+0.67+1.6+0.68+0.34+0.34+6.63+6.03+0.34+5.77+0.34+3.25+3.25+6.51+0.34+0.34+6.03</f>
        <v>75.51000000000002</v>
      </c>
      <c r="F17" s="156" t="s">
        <v>146</v>
      </c>
      <c r="G17" s="166">
        <f>(32.7*(0.16+0.23))+(28.9*(0.74+0.23))+(5*0.5)+(10.62*1.25)</f>
        <v>56.561</v>
      </c>
      <c r="H17">
        <f>3.27+1.07+6.28</f>
        <v>10.620000000000001</v>
      </c>
    </row>
    <row r="18" spans="1:7" ht="12.75">
      <c r="A18" s="162" t="s">
        <v>94</v>
      </c>
      <c r="B18" s="156">
        <f>55.4*0.5</f>
        <v>27.7</v>
      </c>
      <c r="C18" s="156"/>
      <c r="F18" s="156" t="s">
        <v>147</v>
      </c>
      <c r="G18" s="157">
        <f>18.58+(7.9*0.52)</f>
        <v>22.688</v>
      </c>
    </row>
    <row r="19" spans="1:7" ht="12.75">
      <c r="A19" s="162" t="s">
        <v>95</v>
      </c>
      <c r="B19" s="156">
        <f>5*2*0.25*7.79</f>
        <v>19.475</v>
      </c>
      <c r="C19" s="156"/>
      <c r="F19" s="158" t="s">
        <v>83</v>
      </c>
      <c r="G19" s="157">
        <f>SUM(G13:G18)</f>
        <v>181.86139999999997</v>
      </c>
    </row>
    <row r="20" spans="1:3" ht="12.75">
      <c r="A20" s="158" t="s">
        <v>83</v>
      </c>
      <c r="B20" s="160">
        <f>B17+B18+B19</f>
        <v>418.37500000000006</v>
      </c>
      <c r="C20" s="160" t="s">
        <v>91</v>
      </c>
    </row>
    <row r="21" spans="1:3" ht="12.75">
      <c r="A21" s="156"/>
      <c r="B21" s="156"/>
      <c r="C21" s="156"/>
    </row>
    <row r="22" spans="1:7" ht="12.75">
      <c r="A22" s="291" t="s">
        <v>93</v>
      </c>
      <c r="B22" s="291"/>
      <c r="C22" s="291"/>
      <c r="F22" s="291" t="s">
        <v>160</v>
      </c>
      <c r="G22" s="291"/>
    </row>
    <row r="23" spans="1:7" ht="25.5">
      <c r="A23" s="156"/>
      <c r="B23" s="161" t="s">
        <v>80</v>
      </c>
      <c r="C23" s="108" t="s">
        <v>82</v>
      </c>
      <c r="F23" s="162" t="s">
        <v>161</v>
      </c>
      <c r="G23" s="157">
        <f>((2.5*1.74)+(3.86*2.13)+(5.98*2.28)+(3.73*2.16)+64.64)</f>
        <v>98.90299999999999</v>
      </c>
    </row>
    <row r="24" spans="1:7" ht="12.75">
      <c r="A24" s="162" t="s">
        <v>77</v>
      </c>
      <c r="B24" s="156">
        <f>(424.55+22.16)-C24</f>
        <v>389.15000000000003</v>
      </c>
      <c r="C24" s="156">
        <f>2.76+3.45+3.45+3.45+3.45+3.45+3.45+3.45+2.76+0.67+0.35+0.35+0.35+0.35+0.68+0.68+0.34+0.34+0.68+0.68+0.68+0.68+0.68+0.68+7.06+7.02+2.81+2.81</f>
        <v>57.56000000000002</v>
      </c>
      <c r="F24" s="162" t="s">
        <v>162</v>
      </c>
      <c r="G24" s="156">
        <f>50.7+43.9+31.08</f>
        <v>125.67999999999999</v>
      </c>
    </row>
    <row r="25" spans="1:7" ht="12.75">
      <c r="A25" s="162" t="s">
        <v>94</v>
      </c>
      <c r="B25" s="156">
        <f>55.4*0.5</f>
        <v>27.7</v>
      </c>
      <c r="C25" s="156"/>
      <c r="F25" s="162" t="s">
        <v>163</v>
      </c>
      <c r="G25" s="157">
        <f>(16.65*2)</f>
        <v>33.3</v>
      </c>
    </row>
    <row r="26" spans="1:7" ht="12.75">
      <c r="A26" s="162" t="s">
        <v>95</v>
      </c>
      <c r="B26" s="156">
        <f>5*2*0.25*7.79</f>
        <v>19.475</v>
      </c>
      <c r="C26" s="156"/>
      <c r="F26" s="162" t="s">
        <v>164</v>
      </c>
      <c r="G26" s="156">
        <f>16.72+52.6+45.12+79.36</f>
        <v>193.8</v>
      </c>
    </row>
    <row r="27" spans="1:10" ht="12.75">
      <c r="A27" s="158" t="s">
        <v>83</v>
      </c>
      <c r="B27" s="160">
        <f>B24+B25+B26</f>
        <v>436.32500000000005</v>
      </c>
      <c r="C27" s="160" t="s">
        <v>91</v>
      </c>
      <c r="F27" s="168" t="s">
        <v>150</v>
      </c>
      <c r="G27" s="169">
        <f>SUM(G23:G26)*2</f>
        <v>903.366</v>
      </c>
      <c r="H27" s="169">
        <f>SUM(G23:G26)</f>
        <v>451.683</v>
      </c>
      <c r="I27" s="101">
        <f>SUM(G23:G26)</f>
        <v>451.683</v>
      </c>
      <c r="J27" s="101">
        <f>I27*2</f>
        <v>903.366</v>
      </c>
    </row>
    <row r="28" spans="1:3" ht="12.75">
      <c r="A28" s="156"/>
      <c r="B28" s="156"/>
      <c r="C28" s="156"/>
    </row>
    <row r="29" spans="1:3" ht="12.75">
      <c r="A29" s="170" t="s">
        <v>107</v>
      </c>
      <c r="B29" s="159">
        <f>B27+B20+B13+B7</f>
        <v>1591.2146000000002</v>
      </c>
      <c r="C29" s="160" t="s">
        <v>91</v>
      </c>
    </row>
    <row r="30" spans="6:9" ht="12.75">
      <c r="F30" s="291" t="s">
        <v>166</v>
      </c>
      <c r="G30" s="291"/>
      <c r="I30" s="101">
        <f>H40+I35</f>
        <v>3975.448000000001</v>
      </c>
    </row>
    <row r="31" spans="6:7" ht="12.75">
      <c r="F31" s="162" t="s">
        <v>167</v>
      </c>
      <c r="G31" s="156">
        <f>(2*5.12*3)+(2*5.72*3)-(2*2*0.6)</f>
        <v>62.63999999999999</v>
      </c>
    </row>
    <row r="32" spans="6:7" ht="12.75">
      <c r="F32" s="162" t="s">
        <v>165</v>
      </c>
      <c r="G32" s="156">
        <f>(2*5*3)+(2*6.1*3)</f>
        <v>66.6</v>
      </c>
    </row>
    <row r="33" spans="1:7" ht="12.75">
      <c r="A33" s="292" t="s">
        <v>41</v>
      </c>
      <c r="B33" s="292"/>
      <c r="C33" s="292"/>
      <c r="F33" s="183" t="s">
        <v>168</v>
      </c>
      <c r="G33" s="156">
        <f>SUM(G31:G32)</f>
        <v>129.23999999999998</v>
      </c>
    </row>
    <row r="34" spans="1:2" ht="12.75">
      <c r="A34">
        <f>2*424.55+2*236.7</f>
        <v>1322.5</v>
      </c>
      <c r="B34" s="102" t="s">
        <v>91</v>
      </c>
    </row>
    <row r="35" spans="6:10" ht="12.75">
      <c r="F35" s="171" t="s">
        <v>152</v>
      </c>
      <c r="G35" s="184">
        <f>B29+G19+G27+G33</f>
        <v>2805.682</v>
      </c>
      <c r="I35" s="169">
        <f>((2.5*1.74)+(3.86*2.13)+(5.98*2.28)+(3.73*2.16)+64.64+50.7+43.9+31.08+(16.65*2)+16.72+52.6+45.12+79.36+(2*5*3)+(2*6.1*3))*2</f>
        <v>1036.5660000000003</v>
      </c>
      <c r="J35" s="169">
        <f>((2.5*1.74)+(3.86*2.13)+(5.98*2.28)+(3.73*2.16)+64.64+50.7+43.9+31.08+(16.65*2)+16.72+52.6+45.12+79.36)*2</f>
        <v>903.3660000000002</v>
      </c>
    </row>
    <row r="37" ht="12.75">
      <c r="G37" s="101">
        <f>G19+I35</f>
        <v>1218.4274000000003</v>
      </c>
    </row>
    <row r="40" ht="12.75">
      <c r="H40" s="172">
        <f>B29+G19+I35+G33</f>
        <v>2938.8820000000005</v>
      </c>
    </row>
    <row r="43" ht="12.75">
      <c r="F43">
        <f>66*2</f>
        <v>132</v>
      </c>
    </row>
    <row r="44" ht="12.75">
      <c r="F44" s="101">
        <f>G35+F43</f>
        <v>2937.682</v>
      </c>
    </row>
  </sheetData>
  <sheetProtection/>
  <mergeCells count="11">
    <mergeCell ref="F11:G11"/>
    <mergeCell ref="F22:G22"/>
    <mergeCell ref="F30:G30"/>
    <mergeCell ref="A33:C33"/>
    <mergeCell ref="A2:C2"/>
    <mergeCell ref="F2:H2"/>
    <mergeCell ref="A1:H1"/>
    <mergeCell ref="A9:C9"/>
    <mergeCell ref="A15:C15"/>
    <mergeCell ref="A22:C22"/>
    <mergeCell ref="F9:G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Engenheira</cp:lastModifiedBy>
  <cp:lastPrinted>2024-05-27T19:20:32Z</cp:lastPrinted>
  <dcterms:created xsi:type="dcterms:W3CDTF">2006-09-22T13:55:22Z</dcterms:created>
  <dcterms:modified xsi:type="dcterms:W3CDTF">2024-05-27T20:09:13Z</dcterms:modified>
  <cp:category/>
  <cp:version/>
  <cp:contentType/>
  <cp:contentStatus/>
</cp:coreProperties>
</file>